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calcChain.xml" ContentType="application/vnd.openxmlformats-officedocument.spreadsheetml.calcChain+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mc:AlternateContent xmlns:mc="http://schemas.openxmlformats.org/markup-compatibility/2006">
    <mc:Choice Requires="x15">
      <x15ac:absPath xmlns:x15ac="http://schemas.microsoft.com/office/spreadsheetml/2010/11/ac" url="https://undp-my.sharepoint.com/personal/stella_coco_undp_org/Documents/Stella/Programme/PMSU/PTA 2017/"/>
    </mc:Choice>
  </mc:AlternateContent>
  <bookViews>
    <workbookView xWindow="0" yWindow="0" windowWidth="20730" windowHeight="11760"/>
  </bookViews>
  <sheets>
    <sheet name="TBWP" sheetId="1" r:id="rId1"/>
    <sheet name="Summary" sheetId="4" r:id="rId2"/>
    <sheet name="accounts" sheetId="2" r:id="rId3"/>
  </sheets>
  <definedNames>
    <definedName name="_xlnm._FilterDatabase" localSheetId="0" hidden="1">TBWP!$A$10:$R$49</definedName>
    <definedName name="_ftn1" localSheetId="0">TBWP!#REF!</definedName>
    <definedName name="_ftn2" localSheetId="0">TBWP!$A$53</definedName>
    <definedName name="_ftn3" localSheetId="0">TBWP!$A$54</definedName>
    <definedName name="_ftnref1" localSheetId="0">TBWP!$A$3</definedName>
    <definedName name="_ftnref2" localSheetId="0">TBWP!#REF!</definedName>
    <definedName name="_ftnref3" localSheetId="0">TBWP!$A$45</definedName>
    <definedName name="_xlnm.Print_Area" localSheetId="0">TBWP!$A$10:$L$50</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3" i="1" l="1"/>
  <c r="J23" i="1"/>
  <c r="I23" i="1"/>
  <c r="H23" i="1"/>
  <c r="G23" i="1"/>
  <c r="L23" i="1" s="1"/>
  <c r="K29" i="1" l="1"/>
  <c r="J29" i="1"/>
  <c r="I29" i="1"/>
  <c r="H29" i="1"/>
  <c r="G29" i="1"/>
  <c r="K20" i="1"/>
  <c r="J20" i="1"/>
  <c r="H20" i="1"/>
  <c r="I20" i="1"/>
  <c r="G20" i="1"/>
  <c r="K12" i="1"/>
  <c r="J12" i="1"/>
  <c r="I12" i="1"/>
  <c r="H12" i="1"/>
  <c r="G12" i="1"/>
  <c r="K35" i="1"/>
  <c r="J35" i="1"/>
  <c r="I35" i="1"/>
  <c r="H35" i="1"/>
  <c r="G35" i="1"/>
  <c r="L35" i="1" s="1"/>
  <c r="K33" i="1"/>
  <c r="J33" i="1"/>
  <c r="I33" i="1"/>
  <c r="H33" i="1"/>
  <c r="G33" i="1"/>
  <c r="K26" i="1"/>
  <c r="J26" i="1"/>
  <c r="I26" i="1"/>
  <c r="H26" i="1"/>
  <c r="G26" i="1"/>
  <c r="L26" i="1" s="1"/>
  <c r="K17" i="1"/>
  <c r="H17" i="1"/>
  <c r="J17" i="1"/>
  <c r="I17" i="1"/>
  <c r="G17" i="1"/>
  <c r="K15" i="1"/>
  <c r="J15" i="1"/>
  <c r="I15" i="1"/>
  <c r="H15" i="1"/>
  <c r="G15" i="1"/>
  <c r="E17" i="1"/>
  <c r="E26" i="1"/>
  <c r="E35" i="1"/>
  <c r="L17" i="1" l="1"/>
  <c r="I24" i="1"/>
  <c r="J24" i="1"/>
  <c r="K24" i="1"/>
  <c r="H24" i="1"/>
  <c r="G24" i="1"/>
  <c r="I25" i="1"/>
  <c r="K25" i="1"/>
  <c r="J25" i="1"/>
  <c r="H25" i="1"/>
  <c r="G25" i="1"/>
  <c r="K21" i="1"/>
  <c r="J21" i="1"/>
  <c r="I21" i="1"/>
  <c r="H21" i="1"/>
  <c r="G21" i="1"/>
  <c r="K22" i="1"/>
  <c r="J22" i="1"/>
  <c r="I22" i="1"/>
  <c r="H22" i="1"/>
  <c r="G22" i="1"/>
  <c r="H32" i="1"/>
  <c r="G32" i="1"/>
  <c r="I32" i="1"/>
  <c r="J32" i="1"/>
  <c r="K32" i="1"/>
  <c r="K30" i="1"/>
  <c r="H30" i="1"/>
  <c r="J30" i="1"/>
  <c r="I30" i="1"/>
  <c r="G30" i="1"/>
  <c r="K34" i="1"/>
  <c r="H34" i="1"/>
  <c r="I34" i="1"/>
  <c r="J34" i="1"/>
  <c r="G34" i="1"/>
  <c r="G31" i="1"/>
  <c r="K31" i="1"/>
  <c r="H31" i="1"/>
  <c r="I31" i="1"/>
  <c r="J31" i="1"/>
  <c r="E22" i="1"/>
  <c r="K16" i="1"/>
  <c r="J16" i="1"/>
  <c r="I16" i="1"/>
  <c r="H16" i="1"/>
  <c r="G16" i="1"/>
  <c r="K14" i="1"/>
  <c r="J14" i="1"/>
  <c r="H14" i="1"/>
  <c r="I14" i="1"/>
  <c r="G14" i="1"/>
  <c r="G13" i="1"/>
  <c r="H13" i="1"/>
  <c r="I13" i="1"/>
  <c r="J13" i="1"/>
  <c r="K13" i="1"/>
  <c r="L18" i="1"/>
  <c r="K39" i="1"/>
  <c r="I39" i="1"/>
  <c r="K38" i="1"/>
  <c r="I38" i="1"/>
  <c r="L45" i="1"/>
  <c r="L46" i="1"/>
  <c r="L47" i="1"/>
  <c r="M13" i="1"/>
  <c r="M14" i="1" s="1"/>
  <c r="M15" i="1" s="1"/>
  <c r="M16" i="1" s="1"/>
  <c r="M17" i="1" s="1"/>
  <c r="M18" i="1" s="1"/>
  <c r="J44" i="1"/>
  <c r="E43" i="1"/>
  <c r="L27" i="1"/>
  <c r="L36" i="1"/>
  <c r="L40" i="1"/>
  <c r="L41" i="1"/>
  <c r="L42" i="1"/>
  <c r="L43" i="1"/>
  <c r="H44" i="1"/>
  <c r="G44" i="1"/>
  <c r="K48" i="1"/>
  <c r="I48" i="1"/>
  <c r="J48" i="1"/>
  <c r="H48" i="1"/>
  <c r="G48" i="1"/>
  <c r="L31" i="1" l="1"/>
  <c r="L24" i="1"/>
  <c r="I28" i="1"/>
  <c r="L25" i="1"/>
  <c r="G28" i="1"/>
  <c r="J28" i="1"/>
  <c r="L21" i="1"/>
  <c r="H28" i="1"/>
  <c r="K28" i="1"/>
  <c r="L22" i="1"/>
  <c r="L20" i="1"/>
  <c r="L32" i="1"/>
  <c r="L33" i="1"/>
  <c r="L34" i="1"/>
  <c r="K37" i="1"/>
  <c r="H37" i="1"/>
  <c r="J37" i="1"/>
  <c r="L30" i="1"/>
  <c r="I37" i="1"/>
  <c r="G37" i="1"/>
  <c r="L29" i="1"/>
  <c r="L13" i="1"/>
  <c r="K19" i="1"/>
  <c r="J19" i="1"/>
  <c r="I19" i="1"/>
  <c r="L15" i="1"/>
  <c r="L16" i="1"/>
  <c r="L14" i="1"/>
  <c r="H19" i="1"/>
  <c r="G19" i="1"/>
  <c r="L12" i="1"/>
  <c r="M20" i="1"/>
  <c r="M21" i="1" s="1"/>
  <c r="I44" i="1"/>
  <c r="L38" i="1"/>
  <c r="L39" i="1"/>
  <c r="K44" i="1"/>
  <c r="L48" i="1"/>
  <c r="N6" i="4"/>
  <c r="H5" i="4"/>
  <c r="I5" i="4"/>
  <c r="F4" i="4"/>
  <c r="G5" i="4"/>
  <c r="E42" i="1"/>
  <c r="E39" i="1"/>
  <c r="E40" i="1"/>
  <c r="E41" i="1"/>
  <c r="E38" i="1"/>
  <c r="E30" i="1"/>
  <c r="E32" i="1"/>
  <c r="E34" i="1"/>
  <c r="E29" i="1"/>
  <c r="E25" i="1"/>
  <c r="E21" i="1"/>
  <c r="E23" i="1"/>
  <c r="E20" i="1"/>
  <c r="M5" i="4"/>
  <c r="L5" i="4"/>
  <c r="K5" i="4"/>
  <c r="K4" i="4"/>
  <c r="K7" i="4" s="1"/>
  <c r="L4" i="4"/>
  <c r="M4" i="4"/>
  <c r="J49" i="1" l="1"/>
  <c r="L28" i="1"/>
  <c r="H49" i="1"/>
  <c r="L37" i="1"/>
  <c r="G49" i="1"/>
  <c r="M22" i="1"/>
  <c r="M23" i="1" s="1"/>
  <c r="M24" i="1" s="1"/>
  <c r="M25" i="1" s="1"/>
  <c r="K49" i="1"/>
  <c r="I49" i="1"/>
  <c r="L19" i="1"/>
  <c r="L44" i="1"/>
  <c r="M7" i="4"/>
  <c r="L7" i="4"/>
  <c r="J5" i="4"/>
  <c r="I4" i="4"/>
  <c r="I7" i="4" s="1"/>
  <c r="G4" i="4"/>
  <c r="G7" i="4" s="1"/>
  <c r="J4" i="4"/>
  <c r="J7" i="4" s="1"/>
  <c r="F5" i="4"/>
  <c r="N5" i="4" s="1"/>
  <c r="F7" i="4"/>
  <c r="N4" i="4"/>
  <c r="N7" i="4" s="1"/>
  <c r="H4" i="4"/>
  <c r="H7" i="4" s="1"/>
  <c r="M26" i="1" l="1"/>
  <c r="M27" i="1" s="1"/>
  <c r="M29" i="1" s="1"/>
  <c r="M30" i="1" s="1"/>
  <c r="M31" i="1" s="1"/>
  <c r="M32" i="1" s="1"/>
  <c r="M33" i="1" s="1"/>
  <c r="M34" i="1" s="1"/>
  <c r="L50" i="1"/>
  <c r="L49" i="1"/>
  <c r="L51" i="1" s="1"/>
  <c r="M35" i="1" l="1"/>
  <c r="M36" i="1" s="1"/>
  <c r="M38" i="1" s="1"/>
  <c r="M39" i="1" s="1"/>
  <c r="M40" i="1" s="1"/>
  <c r="M41" i="1" s="1"/>
  <c r="M42" i="1" s="1"/>
  <c r="M43" i="1" s="1"/>
  <c r="M45" i="1" s="1"/>
  <c r="M46" i="1" s="1"/>
  <c r="M47" i="1" s="1"/>
</calcChain>
</file>

<file path=xl/sharedStrings.xml><?xml version="1.0" encoding="utf-8"?>
<sst xmlns="http://schemas.openxmlformats.org/spreadsheetml/2006/main" count="262" uniqueCount="125">
  <si>
    <t>TOTAL BUDGET AND WORK PLAN</t>
  </si>
  <si>
    <t>Atlas[1] Proposal or Award ID:</t>
  </si>
  <si>
    <t>Atlas Primary Output Project ID:</t>
  </si>
  <si>
    <t>Atlas Proposal or Award Title:</t>
  </si>
  <si>
    <t>Atlas Business Unit</t>
  </si>
  <si>
    <t>Atlas Primary Output Project Title</t>
  </si>
  <si>
    <t xml:space="preserve">UNDP-GEF PIMS No. </t>
  </si>
  <si>
    <t xml:space="preserve">Implementing Partner </t>
  </si>
  <si>
    <t>GEF Component/Atlas Activity</t>
  </si>
  <si>
    <t xml:space="preserve">Responsible Party/[1] </t>
  </si>
  <si>
    <t>Fund ID</t>
  </si>
  <si>
    <t>Donor Name</t>
  </si>
  <si>
    <t>Atlas Budgetary Account Code</t>
  </si>
  <si>
    <t>ATLAS Budget Description</t>
  </si>
  <si>
    <t>Amount Year 1 (USD)</t>
  </si>
  <si>
    <t>Amount Year 2 (USD)</t>
  </si>
  <si>
    <t>Amount Year 3 (USD)</t>
  </si>
  <si>
    <t>See Budget Note:</t>
  </si>
  <si>
    <t>(Atlas Implementing Agent)</t>
  </si>
  <si>
    <t>COMPONENT/</t>
  </si>
  <si>
    <t>GEF</t>
  </si>
  <si>
    <t>International Consultants</t>
  </si>
  <si>
    <t xml:space="preserve"> -   </t>
  </si>
  <si>
    <t>A</t>
  </si>
  <si>
    <t xml:space="preserve">OUTCOME 1: </t>
  </si>
  <si>
    <t>Local Consultants</t>
  </si>
  <si>
    <t>B</t>
  </si>
  <si>
    <t>Contractual/ Professional services</t>
  </si>
  <si>
    <t>C</t>
  </si>
  <si>
    <t>Training, workshops</t>
  </si>
  <si>
    <t>D</t>
  </si>
  <si>
    <t>Miscellaneous</t>
  </si>
  <si>
    <t>E</t>
  </si>
  <si>
    <t>Training, workshop, meetings</t>
  </si>
  <si>
    <t>H</t>
  </si>
  <si>
    <t>Travel</t>
  </si>
  <si>
    <t>I</t>
  </si>
  <si>
    <t>Office Supplies</t>
  </si>
  <si>
    <t>J</t>
  </si>
  <si>
    <r>
      <t xml:space="preserve">K </t>
    </r>
    <r>
      <rPr>
        <sz val="8"/>
        <color rgb="FFFF0000"/>
        <rFont val="Calibri"/>
        <family val="2"/>
        <scheme val="minor"/>
      </rPr>
      <t>* lump into 1</t>
    </r>
    <r>
      <rPr>
        <vertAlign val="superscript"/>
        <sz val="8"/>
        <color rgb="FFFF0000"/>
        <rFont val="Calibri"/>
        <family val="2"/>
        <scheme val="minor"/>
      </rPr>
      <t>st</t>
    </r>
    <r>
      <rPr>
        <sz val="8"/>
        <color rgb="FFFF0000"/>
        <rFont val="Calibri"/>
        <family val="2"/>
        <scheme val="minor"/>
      </rPr>
      <t xml:space="preserve"> year</t>
    </r>
  </si>
  <si>
    <t>Total Outcome 1</t>
  </si>
  <si>
    <t>OUTCOME 2:</t>
  </si>
  <si>
    <t>Contractual Services-Companies</t>
  </si>
  <si>
    <t>Equipment and Furniture</t>
  </si>
  <si>
    <t>Training, Workshops and Confer</t>
  </si>
  <si>
    <t>Contractual Services - Individ</t>
  </si>
  <si>
    <t>Rental &amp; Maintenance-Premises</t>
  </si>
  <si>
    <t>Miscellaneous Expenses</t>
  </si>
  <si>
    <t>Total Outcome 2</t>
  </si>
  <si>
    <t>OUTCOME 3:</t>
  </si>
  <si>
    <t>Materials &amp; Goods</t>
  </si>
  <si>
    <t>Information Technology Equipmt</t>
  </si>
  <si>
    <t>Total Outcome 3</t>
  </si>
  <si>
    <t>a</t>
  </si>
  <si>
    <t>OUTCOME 4: KM and M&amp;E</t>
  </si>
  <si>
    <t>b</t>
  </si>
  <si>
    <t>c</t>
  </si>
  <si>
    <t>Professional Services</t>
  </si>
  <si>
    <t>f</t>
  </si>
  <si>
    <t>Audio Visual&amp;Print Prod Costs</t>
  </si>
  <si>
    <t>Total Outcome 4</t>
  </si>
  <si>
    <t>d</t>
  </si>
  <si>
    <t>Project management  unit[3]</t>
  </si>
  <si>
    <t xml:space="preserve">(This is not to appear as an Outcome in the Results Framework) </t>
  </si>
  <si>
    <t>Supplies</t>
  </si>
  <si>
    <t>Services to projects - CO staff</t>
  </si>
  <si>
    <t>Services to projects - GOE for CO</t>
  </si>
  <si>
    <t>Total Project Management</t>
  </si>
  <si>
    <t>PROJECT TOTAL</t>
  </si>
  <si>
    <t>[1] Only the responsible parties to be created as Atlas Implementing Agent as part of the COAs should be entered here. Sub-level responsible parties reporting directly to NIM Implementing Partners should not entered here. For example, if under NIM, UNOPS signs LOA with the IP to manage component 2, and a department of Ministry X will manage component 3, this means that UNOPS will be listed as the responsible party under component 2.  The rest of the components will list the IP as the responsible party.</t>
  </si>
  <si>
    <t xml:space="preserve">[2] Only cash co-financing (cost sharing at project level or other trust funds) actually passing through UNDP accounts should be entered here and in Atlas. Other co-financing should NOT be shown here. </t>
  </si>
  <si>
    <t xml:space="preserve">[3] Should not exceed 5% of total project budget for FSPs and 10% for MSPs.  PMU costs will be used for the following activities: Full time or part time project manager (and or coordinator); Full time or part time project administrative/finance assistant; Travel cost of the PMU project staff; Other General Operating Expenses such as rent, computer, equipment, supplies, etc. to support the PMU; UNDP Direct Project Cost if requested by Government Implementing Partner; Any other projected PMU cost as appropriate.  Audit should be funded under Outcome 4 on KM and M&amp;E or under project outcomes. </t>
  </si>
  <si>
    <t>Budget notes:</t>
  </si>
  <si>
    <r>
      <t>a.</t>
    </r>
    <r>
      <rPr>
        <i/>
        <sz val="9"/>
        <color theme="1"/>
        <rFont val="Times New Roman"/>
        <family val="1"/>
      </rPr>
      <t xml:space="preserve">               </t>
    </r>
    <r>
      <rPr>
        <i/>
        <sz val="9"/>
        <color theme="1"/>
        <rFont val="Calibri"/>
        <family val="2"/>
      </rPr>
      <t>If the project is a full size project, include USD 20,000 - 30,000 for international consultant to undertake mid-term review and USD 20,000 – 40,000 for international consultant to undertake terminal evaluation. If the project is medium sized, include USD 20,000 – 40,000 for consultant (s) to undertake terminal evaluation.</t>
    </r>
  </si>
  <si>
    <r>
      <t>b.</t>
    </r>
    <r>
      <rPr>
        <i/>
        <sz val="9"/>
        <color theme="1"/>
        <rFont val="Times New Roman"/>
        <family val="1"/>
      </rPr>
      <t xml:space="preserve">              </t>
    </r>
    <r>
      <rPr>
        <i/>
        <sz val="9"/>
        <color theme="1"/>
        <rFont val="Calibri"/>
        <family val="2"/>
      </rPr>
      <t>If the project is a full size project, include sufficient allocation (e.g. USD 10,000 to 15,000) for national consultant to undertake mid-term review and national consultant (e.g. USD 15,000 to 20,000) to undertake terminal evaluation.</t>
    </r>
  </si>
  <si>
    <r>
      <t xml:space="preserve">c.      </t>
    </r>
    <r>
      <rPr>
        <i/>
        <sz val="9"/>
        <color theme="1"/>
        <rFont val="Times New Roman"/>
        <family val="1"/>
      </rPr>
      <t xml:space="preserve">          </t>
    </r>
    <r>
      <rPr>
        <i/>
        <sz val="9"/>
        <color theme="1"/>
        <rFont val="Calibri"/>
        <family val="2"/>
      </rPr>
      <t>Include sufficient allocation to translate the mid-term review and terminal evaluation if needed into English</t>
    </r>
  </si>
  <si>
    <r>
      <t>d.</t>
    </r>
    <r>
      <rPr>
        <i/>
        <sz val="9"/>
        <color theme="1"/>
        <rFont val="Times New Roman"/>
        <family val="1"/>
      </rPr>
      <t xml:space="preserve">              </t>
    </r>
    <r>
      <rPr>
        <i/>
        <sz val="9"/>
        <color theme="1"/>
        <rFont val="Calibri"/>
        <family val="2"/>
      </rPr>
      <t>The total amount should include the M&amp;E budget included in Section VI</t>
    </r>
  </si>
  <si>
    <t>e.                 Project execution support services - Staff/General operating expense (GOE) - only if requested by the Implementing Partner: procurement, payments, workshops, ... (never use cost recovery)</t>
  </si>
  <si>
    <r>
      <t>f.</t>
    </r>
    <r>
      <rPr>
        <i/>
        <sz val="9"/>
        <color theme="1"/>
        <rFont val="Times New Roman"/>
        <family val="1"/>
      </rPr>
      <t xml:space="preserve">               </t>
    </r>
    <r>
      <rPr>
        <i/>
        <sz val="9"/>
        <color theme="1"/>
        <rFont val="Calibri"/>
        <family val="2"/>
      </rPr>
      <t>Include an estimated audit cost USD 3,000-5,000 a year (or other amount as provided by Country Office).</t>
    </r>
  </si>
  <si>
    <t>1.-51.        Include budget notes for all items</t>
  </si>
  <si>
    <t>Summary of Funds: [1]</t>
  </si>
  <si>
    <t>Amount</t>
  </si>
  <si>
    <t>Total</t>
  </si>
  <si>
    <t>Year1</t>
  </si>
  <si>
    <t>Year 2</t>
  </si>
  <si>
    <t>Year 3</t>
  </si>
  <si>
    <t>Year 4</t>
  </si>
  <si>
    <t>Year 5</t>
  </si>
  <si>
    <t>Year 6</t>
  </si>
  <si>
    <t>Year 7</t>
  </si>
  <si>
    <t>Year 8</t>
  </si>
  <si>
    <t xml:space="preserve">GEF </t>
  </si>
  <si>
    <t>Donor 2 (e.g. UNDP</t>
  </si>
  <si>
    <t>Donor 3 (cash and in-kind) e.g. Government</t>
  </si>
  <si>
    <t>TOTAL</t>
  </si>
  <si>
    <t xml:space="preserve">[1] Summary table should include all financing of all kinds: GEF financing, cofinancing, cash, in-kind, etc...  </t>
  </si>
  <si>
    <t>Outcomes</t>
  </si>
  <si>
    <t>PMC</t>
  </si>
  <si>
    <t>Other donor</t>
  </si>
  <si>
    <t>Budgetary Acct Description</t>
  </si>
  <si>
    <t>Budgetary Account</t>
  </si>
  <si>
    <t>Communic &amp; Audio Visual Equip</t>
  </si>
  <si>
    <t>72100</t>
  </si>
  <si>
    <t>Grants</t>
  </si>
  <si>
    <t>Facilities &amp; Administration</t>
  </si>
  <si>
    <t>Hospitality/Catering</t>
  </si>
  <si>
    <t>Rental &amp; Maint of Info Tech Eq</t>
  </si>
  <si>
    <t>Rental &amp; Maint of Other Equip</t>
  </si>
  <si>
    <t>Transport, Shipping and handle</t>
  </si>
  <si>
    <t>75700</t>
  </si>
  <si>
    <t>Salaries Costs - GS Staff</t>
  </si>
  <si>
    <t>Salary &amp; Post Adj Cst-IP Staff</t>
  </si>
  <si>
    <t>UN Volunteers</t>
  </si>
  <si>
    <t>Salary Costs - NP Staff</t>
  </si>
  <si>
    <t>Strengthening the resilience of rural livelihoods and sub-national government system to climate risks and variability in Benin</t>
  </si>
  <si>
    <t>Ministère du Plan et du Développement</t>
  </si>
  <si>
    <t>BEN10</t>
  </si>
  <si>
    <t>MDP</t>
  </si>
  <si>
    <t>UNDP</t>
  </si>
  <si>
    <t>LDCF</t>
  </si>
  <si>
    <t>Amount Year 4 (USD)</t>
  </si>
  <si>
    <t>Amount Year 5 (USD)</t>
  </si>
  <si>
    <t>Amount (USD) total</t>
  </si>
  <si>
    <t>Direct project cost</t>
  </si>
  <si>
    <t>XXXXXX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</si>
</sst>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_);_(* \(#,##0\);_(* &quot;-&quot;??_);_(@_)"/>
  </numFmts>
  <fonts count="18" x14ac:knownFonts="1">
    <font>
      <sz val="11"/>
      <color theme="1"/>
      <name val="Calibri"/>
      <family val="2"/>
      <scheme val="minor"/>
    </font>
    <font>
      <sz val="9"/>
      <color rgb="FF000000"/>
      <name val="Calibri"/>
      <family val="2"/>
      <scheme val="minor"/>
    </font>
    <font>
      <u/>
      <sz val="11"/>
      <color theme="10"/>
      <name val="Calibri"/>
      <family val="2"/>
      <scheme val="minor"/>
    </font>
    <font>
      <b/>
      <sz val="9"/>
      <color theme="1"/>
      <name val="Times New Roman"/>
      <family val="1"/>
    </font>
    <font>
      <sz val="9"/>
      <color theme="1"/>
      <name val="Times New Roman"/>
      <family val="1"/>
    </font>
    <font>
      <i/>
      <sz val="9"/>
      <color theme="1"/>
      <name val="Times New Roman"/>
      <family val="1"/>
    </font>
    <font>
      <sz val="11"/>
      <color theme="1"/>
      <name val="Calibri"/>
      <family val="2"/>
      <scheme val="minor"/>
    </font>
    <font>
      <sz val="9"/>
      <color theme="1"/>
      <name val="Calibri"/>
      <family val="2"/>
      <scheme val="minor"/>
    </font>
    <font>
      <u/>
      <sz val="9"/>
      <color theme="10"/>
      <name val="Calibri"/>
      <family val="2"/>
      <scheme val="minor"/>
    </font>
    <font>
      <b/>
      <sz val="9"/>
      <color theme="1"/>
      <name val="Calibri"/>
      <family val="2"/>
      <scheme val="minor"/>
    </font>
    <font>
      <sz val="9"/>
      <color theme="1"/>
      <name val="Courier"/>
      <family val="3"/>
    </font>
    <font>
      <i/>
      <sz val="9"/>
      <color theme="1"/>
      <name val="Calibri"/>
      <family val="2"/>
      <scheme val="minor"/>
    </font>
    <font>
      <b/>
      <i/>
      <sz val="9"/>
      <color theme="1"/>
      <name val="Times New Roman"/>
      <family val="1"/>
    </font>
    <font>
      <i/>
      <sz val="9"/>
      <color theme="1"/>
      <name val="Calibri"/>
      <family val="2"/>
    </font>
    <font>
      <sz val="8"/>
      <color theme="1"/>
      <name val="Calibri"/>
      <family val="2"/>
      <scheme val="minor"/>
    </font>
    <font>
      <sz val="8"/>
      <color rgb="FFFF0000"/>
      <name val="Calibri"/>
      <family val="2"/>
      <scheme val="minor"/>
    </font>
    <font>
      <vertAlign val="superscript"/>
      <sz val="8"/>
      <color rgb="FFFF0000"/>
      <name val="Calibri"/>
      <family val="2"/>
      <scheme val="minor"/>
    </font>
    <font>
      <b/>
      <i/>
      <sz val="9"/>
      <color theme="1"/>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5" tint="0.59999389629810485"/>
        <bgColor indexed="64"/>
      </patternFill>
    </fill>
    <fill>
      <patternFill patternType="solid">
        <fgColor theme="4" tint="0.59996337778862885"/>
        <bgColor indexed="64"/>
      </patternFill>
    </fill>
    <fill>
      <patternFill patternType="solid">
        <fgColor rgb="FFFFFF00"/>
        <bgColor indexed="64"/>
      </patternFill>
    </fill>
  </fills>
  <borders count="28">
    <border>
      <left/>
      <right/>
      <top/>
      <bottom/>
      <diagonal/>
    </border>
    <border>
      <left style="medium">
        <color indexed="64"/>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bottom/>
      <diagonal/>
    </border>
    <border>
      <left/>
      <right style="medium">
        <color indexed="64"/>
      </right>
      <top/>
      <bottom style="double">
        <color indexed="64"/>
      </bottom>
      <diagonal/>
    </border>
    <border>
      <left/>
      <right style="medium">
        <color indexed="64"/>
      </right>
      <top/>
      <bottom/>
      <diagonal/>
    </border>
    <border>
      <left/>
      <right/>
      <top/>
      <bottom style="double">
        <color indexed="64"/>
      </bottom>
      <diagonal/>
    </border>
    <border>
      <left style="medium">
        <color indexed="64"/>
      </left>
      <right style="medium">
        <color indexed="64"/>
      </right>
      <top style="double">
        <color indexed="64"/>
      </top>
      <bottom/>
      <diagonal/>
    </border>
    <border>
      <left style="thin">
        <color rgb="FFABABAB"/>
      </left>
      <right/>
      <top style="thin">
        <color rgb="FFABABAB"/>
      </top>
      <bottom/>
      <diagonal/>
    </border>
    <border>
      <left/>
      <right/>
      <top/>
      <bottom style="medium">
        <color indexed="64"/>
      </bottom>
      <diagonal/>
    </border>
    <border>
      <left style="medium">
        <color indexed="64"/>
      </left>
      <right/>
      <top/>
      <bottom/>
      <diagonal/>
    </border>
    <border>
      <left style="medium">
        <color indexed="64"/>
      </left>
      <right/>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2" fillId="0" borderId="0" applyNumberFormat="0" applyFill="0" applyBorder="0" applyAlignment="0" applyProtection="0"/>
    <xf numFmtId="164" fontId="6" fillId="0" borderId="0" applyFont="0" applyFill="0" applyBorder="0" applyAlignment="0" applyProtection="0"/>
  </cellStyleXfs>
  <cellXfs count="133">
    <xf numFmtId="0" fontId="0" fillId="0" borderId="0" xfId="0"/>
    <xf numFmtId="0" fontId="1" fillId="0" borderId="2" xfId="0" applyFont="1" applyBorder="1" applyAlignment="1">
      <alignment horizontal="justify" vertical="center" wrapText="1"/>
    </xf>
    <xf numFmtId="0" fontId="1" fillId="0" borderId="3" xfId="0" applyFont="1" applyBorder="1" applyAlignment="1">
      <alignment horizontal="justify" vertical="center"/>
    </xf>
    <xf numFmtId="0" fontId="1" fillId="0" borderId="3" xfId="0" applyFont="1" applyBorder="1" applyAlignment="1">
      <alignment horizontal="justify" vertical="center" wrapText="1"/>
    </xf>
    <xf numFmtId="0" fontId="0" fillId="0" borderId="16" xfId="0" applyBorder="1"/>
    <xf numFmtId="49" fontId="0" fillId="0" borderId="0" xfId="0" applyNumberFormat="1"/>
    <xf numFmtId="0" fontId="8" fillId="0" borderId="1" xfId="1" applyFont="1" applyBorder="1" applyAlignment="1">
      <alignment horizontal="justify" vertical="center"/>
    </xf>
    <xf numFmtId="0" fontId="7" fillId="0" borderId="0" xfId="0" applyFont="1"/>
    <xf numFmtId="0" fontId="8" fillId="0" borderId="0" xfId="1" applyFont="1" applyAlignment="1">
      <alignment horizontal="justify" vertical="center"/>
    </xf>
    <xf numFmtId="165" fontId="4" fillId="0" borderId="4" xfId="2" applyNumberFormat="1" applyFont="1" applyBorder="1" applyAlignment="1">
      <alignment horizontal="center" vertical="center"/>
    </xf>
    <xf numFmtId="165" fontId="4" fillId="0" borderId="4" xfId="2" applyNumberFormat="1" applyFont="1" applyBorder="1" applyAlignment="1">
      <alignment horizontal="center" vertical="center" wrapText="1"/>
    </xf>
    <xf numFmtId="165" fontId="3" fillId="0" borderId="12" xfId="2" applyNumberFormat="1" applyFont="1" applyBorder="1" applyAlignment="1">
      <alignment horizontal="center" vertical="center"/>
    </xf>
    <xf numFmtId="165" fontId="3" fillId="0" borderId="4" xfId="0" applyNumberFormat="1" applyFont="1" applyBorder="1" applyAlignment="1">
      <alignment horizontal="center" vertical="center"/>
    </xf>
    <xf numFmtId="0" fontId="10" fillId="0" borderId="0" xfId="0" applyFont="1" applyAlignment="1">
      <alignment horizontal="justify" vertical="center"/>
    </xf>
    <xf numFmtId="0" fontId="4" fillId="0" borderId="5" xfId="0" applyFont="1" applyBorder="1" applyAlignment="1">
      <alignment horizontal="center" vertical="center"/>
    </xf>
    <xf numFmtId="165" fontId="4" fillId="0" borderId="5" xfId="2" applyNumberFormat="1" applyFont="1" applyBorder="1" applyAlignment="1">
      <alignment horizontal="center" vertical="center"/>
    </xf>
    <xf numFmtId="165" fontId="4" fillId="0" borderId="5" xfId="0" applyNumberFormat="1" applyFont="1" applyBorder="1" applyAlignment="1">
      <alignment horizontal="center" vertical="center"/>
    </xf>
    <xf numFmtId="165" fontId="4" fillId="0" borderId="1" xfId="0" applyNumberFormat="1" applyFont="1" applyBorder="1" applyAlignment="1">
      <alignment horizontal="center" vertical="center"/>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11" fillId="0" borderId="0" xfId="0" applyFont="1" applyAlignment="1">
      <alignment horizontal="center"/>
    </xf>
    <xf numFmtId="0" fontId="5" fillId="0" borderId="4" xfId="0" applyFont="1" applyBorder="1" applyAlignment="1">
      <alignment horizontal="center" vertical="center"/>
    </xf>
    <xf numFmtId="0" fontId="12" fillId="0" borderId="12" xfId="0" applyFont="1" applyBorder="1" applyAlignment="1">
      <alignment horizontal="center" vertical="center" wrapText="1"/>
    </xf>
    <xf numFmtId="0" fontId="11" fillId="0" borderId="0" xfId="0" applyFont="1" applyAlignment="1"/>
    <xf numFmtId="0" fontId="3" fillId="0" borderId="17" xfId="0" applyFont="1" applyBorder="1" applyAlignment="1">
      <alignment horizontal="justify" vertical="center" wrapText="1"/>
    </xf>
    <xf numFmtId="0" fontId="4" fillId="0" borderId="0" xfId="0" applyFont="1" applyAlignment="1">
      <alignment horizontal="justify" vertical="center"/>
    </xf>
    <xf numFmtId="0" fontId="4" fillId="0" borderId="13" xfId="0" applyFont="1" applyBorder="1" applyAlignment="1">
      <alignment horizontal="justify" vertical="center"/>
    </xf>
    <xf numFmtId="0" fontId="4" fillId="0" borderId="23" xfId="0" applyFont="1" applyBorder="1" applyAlignment="1">
      <alignment horizontal="center" vertical="center"/>
    </xf>
    <xf numFmtId="0" fontId="4" fillId="0" borderId="20" xfId="0" applyFont="1" applyBorder="1" applyAlignment="1">
      <alignment horizontal="center" vertical="center"/>
    </xf>
    <xf numFmtId="0" fontId="3" fillId="0" borderId="0" xfId="0" applyFont="1" applyAlignment="1">
      <alignment horizontal="justify" vertical="center" wrapText="1"/>
    </xf>
    <xf numFmtId="0" fontId="14" fillId="0" borderId="1" xfId="0" applyFont="1" applyBorder="1" applyAlignment="1">
      <alignment horizontal="justify" vertical="center" wrapText="1"/>
    </xf>
    <xf numFmtId="0" fontId="14" fillId="0" borderId="7" xfId="0" applyFont="1" applyBorder="1" applyAlignment="1">
      <alignment horizontal="justify" vertical="center" wrapText="1"/>
    </xf>
    <xf numFmtId="0" fontId="14" fillId="0" borderId="7" xfId="0" applyFont="1" applyBorder="1" applyAlignment="1">
      <alignment horizontal="justify" vertical="center"/>
    </xf>
    <xf numFmtId="3" fontId="14" fillId="0" borderId="7" xfId="0" applyNumberFormat="1" applyFont="1" applyBorder="1" applyAlignment="1">
      <alignment horizontal="justify" vertical="center"/>
    </xf>
    <xf numFmtId="0" fontId="14" fillId="0" borderId="3" xfId="0" applyFont="1" applyBorder="1" applyAlignment="1">
      <alignment horizontal="justify" vertical="center" wrapText="1"/>
    </xf>
    <xf numFmtId="0" fontId="14" fillId="0" borderId="4" xfId="0" applyFont="1" applyBorder="1" applyAlignment="1">
      <alignment horizontal="justify" vertical="center" wrapText="1"/>
    </xf>
    <xf numFmtId="0" fontId="14" fillId="0" borderId="4" xfId="0" applyFont="1" applyBorder="1" applyAlignment="1">
      <alignment horizontal="justify" vertical="center"/>
    </xf>
    <xf numFmtId="3" fontId="14" fillId="0" borderId="4" xfId="0" applyNumberFormat="1" applyFont="1" applyBorder="1" applyAlignment="1">
      <alignment horizontal="justify" vertical="center"/>
    </xf>
    <xf numFmtId="0" fontId="7" fillId="0" borderId="0" xfId="0" applyFont="1" applyAlignment="1">
      <alignment horizontal="center"/>
    </xf>
    <xf numFmtId="0" fontId="8" fillId="0" borderId="9" xfId="1" applyFont="1" applyBorder="1" applyAlignment="1">
      <alignment wrapText="1"/>
    </xf>
    <xf numFmtId="0" fontId="9" fillId="0" borderId="13" xfId="0" applyFont="1" applyBorder="1" applyAlignment="1">
      <alignment wrapText="1"/>
    </xf>
    <xf numFmtId="0" fontId="9" fillId="0" borderId="18" xfId="0" applyFont="1" applyBorder="1" applyAlignment="1">
      <alignment wrapText="1"/>
    </xf>
    <xf numFmtId="0" fontId="7" fillId="0" borderId="7" xfId="0" applyFont="1" applyBorder="1" applyAlignment="1">
      <alignment wrapText="1"/>
    </xf>
    <xf numFmtId="0" fontId="7" fillId="0" borderId="7" xfId="0" applyFont="1" applyBorder="1" applyAlignment="1"/>
    <xf numFmtId="3" fontId="7" fillId="0" borderId="7" xfId="0" applyNumberFormat="1" applyFont="1" applyBorder="1" applyAlignment="1"/>
    <xf numFmtId="0" fontId="7" fillId="0" borderId="4" xfId="0" applyFont="1" applyBorder="1" applyAlignment="1">
      <alignment wrapText="1"/>
    </xf>
    <xf numFmtId="0" fontId="7" fillId="0" borderId="4" xfId="0" applyFont="1" applyBorder="1" applyAlignment="1"/>
    <xf numFmtId="3" fontId="7" fillId="0" borderId="4" xfId="0" applyNumberFormat="1" applyFont="1" applyBorder="1" applyAlignment="1"/>
    <xf numFmtId="0" fontId="7" fillId="0" borderId="18" xfId="0" applyFont="1" applyBorder="1" applyAlignment="1">
      <alignment wrapText="1"/>
    </xf>
    <xf numFmtId="0" fontId="7" fillId="0" borderId="19" xfId="0" applyFont="1" applyBorder="1" applyAlignment="1">
      <alignment wrapText="1"/>
    </xf>
    <xf numFmtId="0" fontId="9" fillId="0" borderId="18" xfId="0" applyFont="1" applyBorder="1" applyAlignment="1"/>
    <xf numFmtId="0" fontId="7" fillId="0" borderId="1" xfId="0" applyFont="1" applyBorder="1" applyAlignment="1"/>
    <xf numFmtId="0" fontId="7" fillId="0" borderId="8" xfId="0" applyFont="1" applyBorder="1" applyAlignment="1">
      <alignment wrapText="1"/>
    </xf>
    <xf numFmtId="165" fontId="7" fillId="0" borderId="4" xfId="2" applyNumberFormat="1" applyFont="1" applyBorder="1" applyAlignment="1"/>
    <xf numFmtId="0" fontId="11" fillId="0" borderId="18" xfId="0" applyFont="1" applyBorder="1" applyAlignment="1"/>
    <xf numFmtId="0" fontId="7" fillId="0" borderId="19" xfId="0" applyFont="1" applyBorder="1" applyAlignment="1"/>
    <xf numFmtId="0" fontId="7" fillId="0" borderId="18" xfId="0" applyFont="1" applyBorder="1" applyAlignment="1"/>
    <xf numFmtId="0" fontId="7" fillId="0" borderId="23" xfId="0" applyFont="1" applyBorder="1" applyAlignment="1">
      <alignment wrapText="1"/>
    </xf>
    <xf numFmtId="0" fontId="7" fillId="0" borderId="5" xfId="0" applyFont="1" applyBorder="1" applyAlignment="1">
      <alignment wrapText="1"/>
    </xf>
    <xf numFmtId="0" fontId="8" fillId="0" borderId="11" xfId="1" applyFont="1" applyBorder="1" applyAlignment="1">
      <alignment wrapText="1"/>
    </xf>
    <xf numFmtId="0" fontId="7" fillId="0" borderId="8" xfId="0" applyFont="1" applyBorder="1" applyAlignment="1"/>
    <xf numFmtId="0" fontId="9" fillId="0" borderId="11" xfId="0" applyFont="1" applyBorder="1" applyAlignment="1">
      <alignment wrapText="1"/>
    </xf>
    <xf numFmtId="0" fontId="7" fillId="0" borderId="11" xfId="0" applyFont="1" applyBorder="1" applyAlignment="1">
      <alignment wrapText="1"/>
    </xf>
    <xf numFmtId="0" fontId="7" fillId="0" borderId="13" xfId="0" applyFont="1" applyBorder="1" applyAlignment="1">
      <alignment wrapText="1"/>
    </xf>
    <xf numFmtId="0" fontId="9" fillId="0" borderId="20" xfId="0" applyFont="1" applyBorder="1" applyAlignment="1">
      <alignment wrapText="1"/>
    </xf>
    <xf numFmtId="0" fontId="9" fillId="0" borderId="17" xfId="0" applyFont="1" applyBorder="1" applyAlignment="1">
      <alignment wrapText="1"/>
    </xf>
    <xf numFmtId="0" fontId="9" fillId="2" borderId="12" xfId="0" applyFont="1" applyFill="1" applyBorder="1" applyAlignment="1"/>
    <xf numFmtId="3" fontId="7" fillId="2" borderId="7" xfId="0" applyNumberFormat="1" applyFont="1" applyFill="1" applyBorder="1" applyAlignment="1"/>
    <xf numFmtId="165" fontId="9" fillId="2" borderId="12" xfId="2" applyNumberFormat="1" applyFont="1" applyFill="1" applyBorder="1" applyAlignment="1"/>
    <xf numFmtId="3" fontId="9" fillId="2" borderId="7" xfId="0" applyNumberFormat="1" applyFont="1" applyFill="1" applyBorder="1" applyAlignment="1"/>
    <xf numFmtId="0" fontId="9" fillId="2" borderId="12" xfId="0" applyFont="1" applyFill="1" applyBorder="1" applyAlignment="1">
      <alignment wrapText="1"/>
    </xf>
    <xf numFmtId="0" fontId="9" fillId="2" borderId="14" xfId="0" applyFont="1" applyFill="1" applyBorder="1" applyAlignment="1"/>
    <xf numFmtId="165" fontId="9" fillId="2" borderId="4" xfId="2" applyNumberFormat="1" applyFont="1" applyFill="1" applyBorder="1" applyAlignment="1"/>
    <xf numFmtId="165" fontId="9" fillId="2" borderId="13" xfId="2" applyNumberFormat="1" applyFont="1" applyFill="1" applyBorder="1" applyAlignment="1"/>
    <xf numFmtId="165" fontId="9" fillId="3" borderId="24" xfId="0" applyNumberFormat="1" applyFont="1" applyFill="1" applyBorder="1" applyAlignment="1"/>
    <xf numFmtId="0" fontId="9" fillId="0" borderId="0" xfId="0" applyFont="1" applyBorder="1" applyAlignment="1">
      <alignment wrapText="1"/>
    </xf>
    <xf numFmtId="0" fontId="7" fillId="0" borderId="9" xfId="0" applyFont="1" applyBorder="1" applyAlignment="1">
      <alignment wrapText="1"/>
    </xf>
    <xf numFmtId="0" fontId="9" fillId="0" borderId="0" xfId="0" applyFont="1" applyBorder="1" applyAlignment="1"/>
    <xf numFmtId="165" fontId="7" fillId="0" borderId="0" xfId="0" applyNumberFormat="1" applyFont="1"/>
    <xf numFmtId="0" fontId="7" fillId="5" borderId="2" xfId="0" applyFont="1" applyFill="1" applyBorder="1" applyAlignment="1">
      <alignment horizontal="justify" vertical="center"/>
    </xf>
    <xf numFmtId="0" fontId="7" fillId="5" borderId="2" xfId="0" applyFont="1" applyFill="1" applyBorder="1" applyAlignment="1">
      <alignment horizontal="justify" vertical="center" wrapText="1"/>
    </xf>
    <xf numFmtId="0" fontId="7" fillId="0" borderId="4" xfId="2" applyNumberFormat="1" applyFont="1" applyBorder="1" applyAlignment="1"/>
    <xf numFmtId="0" fontId="7" fillId="0" borderId="4" xfId="0" applyFont="1" applyFill="1" applyBorder="1" applyAlignment="1"/>
    <xf numFmtId="0" fontId="7" fillId="0" borderId="1" xfId="0" applyFont="1" applyBorder="1" applyAlignment="1">
      <alignment horizontal="center"/>
    </xf>
    <xf numFmtId="0" fontId="7" fillId="0" borderId="25" xfId="0" applyFont="1" applyBorder="1" applyAlignment="1">
      <alignment wrapText="1"/>
    </xf>
    <xf numFmtId="0" fontId="7" fillId="0" borderId="26" xfId="0" applyFont="1" applyBorder="1" applyAlignment="1">
      <alignment wrapText="1"/>
    </xf>
    <xf numFmtId="0" fontId="7" fillId="0" borderId="27" xfId="0" applyFont="1" applyBorder="1" applyAlignment="1">
      <alignment wrapText="1"/>
    </xf>
    <xf numFmtId="0" fontId="9" fillId="4" borderId="8" xfId="0" applyFont="1" applyFill="1" applyBorder="1" applyAlignment="1">
      <alignment wrapText="1"/>
    </xf>
    <xf numFmtId="0" fontId="9" fillId="4" borderId="3" xfId="0" applyFont="1" applyFill="1" applyBorder="1" applyAlignment="1">
      <alignment wrapText="1"/>
    </xf>
    <xf numFmtId="0" fontId="9" fillId="3" borderId="21" xfId="0" applyFont="1" applyFill="1" applyBorder="1" applyAlignment="1"/>
    <xf numFmtId="0" fontId="9" fillId="0" borderId="11" xfId="0" applyFont="1" applyBorder="1" applyAlignment="1">
      <alignment wrapText="1"/>
    </xf>
    <xf numFmtId="0" fontId="9" fillId="0" borderId="10" xfId="0" applyFont="1" applyBorder="1" applyAlignment="1">
      <alignment wrapText="1"/>
    </xf>
    <xf numFmtId="0" fontId="9" fillId="0" borderId="15" xfId="0" applyFont="1" applyBorder="1" applyAlignment="1">
      <alignment wrapText="1"/>
    </xf>
    <xf numFmtId="0" fontId="9" fillId="0" borderId="18" xfId="0" applyFont="1" applyBorder="1" applyAlignment="1">
      <alignment wrapText="1"/>
    </xf>
    <xf numFmtId="0" fontId="9" fillId="0" borderId="19" xfId="0" applyFont="1" applyBorder="1" applyAlignment="1">
      <alignment wrapText="1"/>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12" fillId="0" borderId="8" xfId="0" applyFont="1" applyBorder="1" applyAlignment="1">
      <alignment horizontal="center" vertical="center" wrapText="1"/>
    </xf>
    <xf numFmtId="0" fontId="12" fillId="0" borderId="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9" fillId="0" borderId="5"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17" fillId="4" borderId="8" xfId="0" applyFont="1" applyFill="1" applyBorder="1" applyAlignment="1">
      <alignment wrapText="1"/>
    </xf>
    <xf numFmtId="0" fontId="17" fillId="4" borderId="3" xfId="0" applyFont="1" applyFill="1" applyBorder="1" applyAlignment="1">
      <alignment wrapText="1"/>
    </xf>
    <xf numFmtId="0" fontId="7" fillId="0" borderId="5"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xf>
    <xf numFmtId="0" fontId="1" fillId="0" borderId="5" xfId="0" applyFont="1" applyBorder="1" applyAlignment="1">
      <alignment horizontal="justify" vertical="center"/>
    </xf>
    <xf numFmtId="0" fontId="1" fillId="0" borderId="6" xfId="0" applyFont="1" applyBorder="1" applyAlignment="1">
      <alignment horizontal="justify" vertical="center"/>
    </xf>
    <xf numFmtId="0" fontId="1" fillId="0" borderId="2" xfId="0" applyFont="1" applyBorder="1" applyAlignment="1">
      <alignment horizontal="justify" vertical="center"/>
    </xf>
    <xf numFmtId="0" fontId="1" fillId="0" borderId="7" xfId="0" applyFont="1" applyBorder="1" applyAlignment="1">
      <alignment horizontal="justify" vertical="center"/>
    </xf>
    <xf numFmtId="0" fontId="9" fillId="0" borderId="8" xfId="0" applyFont="1" applyBorder="1" applyAlignment="1"/>
    <xf numFmtId="0" fontId="9" fillId="0" borderId="3" xfId="0" applyFont="1" applyBorder="1" applyAlignment="1"/>
    <xf numFmtId="0" fontId="9" fillId="4" borderId="11" xfId="0" applyFont="1" applyFill="1" applyBorder="1" applyAlignment="1">
      <alignment wrapText="1"/>
    </xf>
    <xf numFmtId="0" fontId="3" fillId="0" borderId="17" xfId="0" applyFont="1" applyBorder="1" applyAlignment="1">
      <alignment horizontal="justify" vertical="center" wrapText="1"/>
    </xf>
    <xf numFmtId="0" fontId="4" fillId="0" borderId="0" xfId="0" applyFont="1" applyAlignment="1">
      <alignment horizontal="justify" vertical="center"/>
    </xf>
    <xf numFmtId="0" fontId="4" fillId="0" borderId="13" xfId="0" applyFont="1" applyBorder="1" applyAlignment="1">
      <alignment horizontal="justify" vertical="center"/>
    </xf>
    <xf numFmtId="0" fontId="4" fillId="0" borderId="23" xfId="0" applyFont="1" applyBorder="1" applyAlignment="1">
      <alignment horizontal="center" vertical="center"/>
    </xf>
    <xf numFmtId="0" fontId="4" fillId="0" borderId="22" xfId="0" applyFont="1" applyBorder="1" applyAlignment="1">
      <alignment horizontal="center" vertical="center"/>
    </xf>
    <xf numFmtId="0" fontId="4" fillId="0" borderId="9" xfId="0" applyFont="1" applyBorder="1" applyAlignment="1">
      <alignment horizontal="center" vertical="center"/>
    </xf>
    <xf numFmtId="0" fontId="4" fillId="0" borderId="20" xfId="0" applyFont="1" applyBorder="1" applyAlignment="1">
      <alignment horizontal="center" vertical="center"/>
    </xf>
    <xf numFmtId="0" fontId="4" fillId="0" borderId="17" xfId="0" applyFont="1" applyBorder="1" applyAlignment="1">
      <alignment horizontal="center" vertical="center"/>
    </xf>
    <xf numFmtId="0" fontId="4" fillId="0" borderId="4" xfId="0" applyFont="1" applyBorder="1" applyAlignment="1">
      <alignment horizontal="center" vertical="center"/>
    </xf>
    <xf numFmtId="0" fontId="3" fillId="0" borderId="0" xfId="0" applyFont="1" applyAlignment="1">
      <alignment horizontal="justify" vertical="center" wrapText="1"/>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164" fontId="7" fillId="0" borderId="4" xfId="2" applyFont="1" applyBorder="1" applyAlignment="1"/>
    <xf numFmtId="164" fontId="7" fillId="0" borderId="7" xfId="2" applyFont="1" applyBorder="1" applyAlignment="1"/>
  </cellXfs>
  <cellStyles count="3">
    <cellStyle name="Lien hypertexte" xfId="1" builtinId="8"/>
    <cellStyle name="Milliers" xfId="2" builtinId="3"/>
    <cellStyle name="Normal" xfId="0" builtinId="0"/>
  </cellStyles>
  <dxfs count="0"/>
  <tableStyles count="0" defaultTableStyle="TableStyleMedium2" defaultPivotStyle="PivotStyleLight16"/>
  <colors>
    <mruColors>
      <color rgb="FF00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3"/>
  <sheetViews>
    <sheetView tabSelected="1" zoomScale="120" zoomScaleNormal="120" workbookViewId="0">
      <selection activeCell="F8" sqref="F8"/>
    </sheetView>
  </sheetViews>
  <sheetFormatPr baseColWidth="10" defaultColWidth="8.85546875" defaultRowHeight="12" x14ac:dyDescent="0.2"/>
  <cols>
    <col min="1" max="1" width="19.42578125" style="7" customWidth="1"/>
    <col min="2" max="2" width="11.85546875" style="7" customWidth="1"/>
    <col min="3" max="3" width="6.85546875" style="7" customWidth="1"/>
    <col min="4" max="4" width="5.5703125" style="7" customWidth="1"/>
    <col min="5" max="5" width="8.5703125" style="38" customWidth="1"/>
    <col min="6" max="6" width="23" style="7" customWidth="1"/>
    <col min="7" max="7" width="11.42578125" style="7" customWidth="1"/>
    <col min="8" max="8" width="11.28515625" style="7" customWidth="1"/>
    <col min="9" max="10" width="11.140625" style="7" customWidth="1"/>
    <col min="11" max="12" width="12.140625" style="7" bestFit="1" customWidth="1"/>
    <col min="13" max="13" width="9" style="7" customWidth="1"/>
    <col min="14" max="16" width="12.140625" style="7" bestFit="1" customWidth="1"/>
    <col min="17" max="17" width="12.7109375" style="7" customWidth="1"/>
    <col min="18" max="18" width="8.85546875" style="20"/>
    <col min="19" max="16384" width="8.85546875" style="7"/>
  </cols>
  <sheetData>
    <row r="1" spans="1:29" ht="12.75" thickBot="1" x14ac:dyDescent="0.25"/>
    <row r="2" spans="1:29" ht="12.75" thickBot="1" x14ac:dyDescent="0.25">
      <c r="A2" s="101" t="s">
        <v>0</v>
      </c>
      <c r="B2" s="102"/>
      <c r="C2" s="102"/>
      <c r="D2" s="103"/>
    </row>
    <row r="3" spans="1:29" ht="25.15" customHeight="1" thickBot="1" x14ac:dyDescent="0.25">
      <c r="A3" s="6" t="s">
        <v>1</v>
      </c>
      <c r="B3" s="79" t="s">
        <v>124</v>
      </c>
      <c r="C3" s="1" t="s">
        <v>2</v>
      </c>
      <c r="D3" s="80" t="s">
        <v>124</v>
      </c>
    </row>
    <row r="4" spans="1:29" ht="15" customHeight="1" thickBot="1" x14ac:dyDescent="0.25">
      <c r="A4" s="2" t="s">
        <v>3</v>
      </c>
      <c r="B4" s="106" t="s">
        <v>114</v>
      </c>
      <c r="C4" s="107"/>
      <c r="D4" s="108"/>
    </row>
    <row r="5" spans="1:29" ht="15" customHeight="1" thickBot="1" x14ac:dyDescent="0.25">
      <c r="A5" s="2" t="s">
        <v>4</v>
      </c>
      <c r="B5" s="109" t="s">
        <v>116</v>
      </c>
      <c r="C5" s="110"/>
      <c r="D5" s="111"/>
    </row>
    <row r="6" spans="1:29" ht="15" customHeight="1" thickBot="1" x14ac:dyDescent="0.25">
      <c r="A6" s="2" t="s">
        <v>5</v>
      </c>
      <c r="B6" s="109" t="s">
        <v>114</v>
      </c>
      <c r="C6" s="110"/>
      <c r="D6" s="111"/>
    </row>
    <row r="7" spans="1:29" ht="15" customHeight="1" thickBot="1" x14ac:dyDescent="0.25">
      <c r="A7" s="2" t="s">
        <v>6</v>
      </c>
      <c r="B7" s="109">
        <v>5433</v>
      </c>
      <c r="C7" s="110"/>
      <c r="D7" s="112"/>
    </row>
    <row r="8" spans="1:29" ht="25.9" customHeight="1" thickBot="1" x14ac:dyDescent="0.25">
      <c r="A8" s="3" t="s">
        <v>7</v>
      </c>
      <c r="B8" s="109" t="s">
        <v>115</v>
      </c>
      <c r="C8" s="110"/>
      <c r="D8" s="111"/>
    </row>
    <row r="9" spans="1:29" ht="18.600000000000001" customHeight="1" thickBot="1" x14ac:dyDescent="0.25"/>
    <row r="10" spans="1:29" ht="33.6" customHeight="1" x14ac:dyDescent="0.2">
      <c r="A10" s="113" t="s">
        <v>8</v>
      </c>
      <c r="B10" s="39" t="s">
        <v>9</v>
      </c>
      <c r="C10" s="87" t="s">
        <v>10</v>
      </c>
      <c r="D10" s="87" t="s">
        <v>11</v>
      </c>
      <c r="E10" s="87" t="s">
        <v>12</v>
      </c>
      <c r="F10" s="87" t="s">
        <v>13</v>
      </c>
      <c r="G10" s="87" t="s">
        <v>14</v>
      </c>
      <c r="H10" s="87" t="s">
        <v>15</v>
      </c>
      <c r="I10" s="87" t="s">
        <v>16</v>
      </c>
      <c r="J10" s="87" t="s">
        <v>120</v>
      </c>
      <c r="K10" s="87" t="s">
        <v>121</v>
      </c>
      <c r="L10" s="87" t="s">
        <v>122</v>
      </c>
      <c r="M10" s="104" t="s">
        <v>17</v>
      </c>
      <c r="N10" s="99"/>
      <c r="O10" s="99"/>
      <c r="P10" s="99"/>
      <c r="Q10" s="95"/>
      <c r="R10" s="97" t="s">
        <v>17</v>
      </c>
    </row>
    <row r="11" spans="1:29" ht="40.15" customHeight="1" thickBot="1" x14ac:dyDescent="0.25">
      <c r="A11" s="114"/>
      <c r="B11" s="40" t="s">
        <v>18</v>
      </c>
      <c r="C11" s="88"/>
      <c r="D11" s="115"/>
      <c r="E11" s="88"/>
      <c r="F11" s="88"/>
      <c r="G11" s="88"/>
      <c r="H11" s="88"/>
      <c r="I11" s="88"/>
      <c r="J11" s="88"/>
      <c r="K11" s="88"/>
      <c r="L11" s="88"/>
      <c r="M11" s="105"/>
      <c r="N11" s="100"/>
      <c r="O11" s="100"/>
      <c r="P11" s="100"/>
      <c r="Q11" s="96"/>
      <c r="R11" s="98"/>
    </row>
    <row r="12" spans="1:29" ht="18.75" customHeight="1" thickBot="1" x14ac:dyDescent="0.25">
      <c r="A12" s="41" t="s">
        <v>19</v>
      </c>
      <c r="B12" s="84" t="s">
        <v>117</v>
      </c>
      <c r="C12" s="42">
        <v>62160</v>
      </c>
      <c r="D12" s="42" t="s">
        <v>119</v>
      </c>
      <c r="E12" s="42">
        <v>71200</v>
      </c>
      <c r="F12" s="43" t="s">
        <v>21</v>
      </c>
      <c r="G12" s="44">
        <f>600*45</f>
        <v>27000</v>
      </c>
      <c r="H12" s="132">
        <f>600*75</f>
        <v>45000</v>
      </c>
      <c r="I12" s="44">
        <f>600*45</f>
        <v>27000</v>
      </c>
      <c r="J12" s="43">
        <f>600*30</f>
        <v>18000</v>
      </c>
      <c r="K12" s="43">
        <f>600*30</f>
        <v>18000</v>
      </c>
      <c r="L12" s="44">
        <f>SUM(G12:K12)</f>
        <v>135000</v>
      </c>
      <c r="M12" s="42">
        <v>1</v>
      </c>
      <c r="N12" s="9"/>
      <c r="O12" s="9"/>
      <c r="P12" s="9"/>
      <c r="Q12" s="9"/>
      <c r="R12" s="21">
        <v>1</v>
      </c>
      <c r="U12" s="30">
        <v>62000</v>
      </c>
      <c r="V12" s="31" t="s">
        <v>20</v>
      </c>
      <c r="W12" s="31">
        <v>71200</v>
      </c>
      <c r="X12" s="32" t="s">
        <v>21</v>
      </c>
      <c r="Y12" s="33">
        <v>34000</v>
      </c>
      <c r="Z12" s="33">
        <v>22525</v>
      </c>
      <c r="AA12" s="32" t="s">
        <v>22</v>
      </c>
      <c r="AB12" s="33">
        <v>56525</v>
      </c>
      <c r="AC12" s="31" t="s">
        <v>23</v>
      </c>
    </row>
    <row r="13" spans="1:29" ht="15" customHeight="1" thickBot="1" x14ac:dyDescent="0.25">
      <c r="A13" s="41" t="s">
        <v>24</v>
      </c>
      <c r="B13" s="85"/>
      <c r="C13" s="42">
        <v>62160</v>
      </c>
      <c r="D13" s="42" t="s">
        <v>119</v>
      </c>
      <c r="E13" s="45">
        <v>71300</v>
      </c>
      <c r="F13" s="46" t="s">
        <v>25</v>
      </c>
      <c r="G13" s="47">
        <f>300*60</f>
        <v>18000</v>
      </c>
      <c r="H13" s="131">
        <f>300*100</f>
        <v>30000</v>
      </c>
      <c r="I13" s="47">
        <f t="shared" ref="I13:K13" si="0">300*60</f>
        <v>18000</v>
      </c>
      <c r="J13" s="47">
        <f t="shared" si="0"/>
        <v>18000</v>
      </c>
      <c r="K13" s="47">
        <f t="shared" si="0"/>
        <v>18000</v>
      </c>
      <c r="L13" s="44">
        <f>SUM(G13:K13)</f>
        <v>102000</v>
      </c>
      <c r="M13" s="42">
        <f>M12+1</f>
        <v>2</v>
      </c>
      <c r="N13" s="9"/>
      <c r="O13" s="9"/>
      <c r="P13" s="9"/>
      <c r="Q13" s="9"/>
      <c r="R13" s="21">
        <v>2</v>
      </c>
      <c r="U13" s="34">
        <v>62000</v>
      </c>
      <c r="V13" s="35" t="s">
        <v>20</v>
      </c>
      <c r="W13" s="35">
        <v>71300</v>
      </c>
      <c r="X13" s="36" t="s">
        <v>25</v>
      </c>
      <c r="Y13" s="37">
        <v>34000</v>
      </c>
      <c r="Z13" s="37">
        <v>24000</v>
      </c>
      <c r="AA13" s="37">
        <v>24400</v>
      </c>
      <c r="AB13" s="37">
        <v>82400</v>
      </c>
      <c r="AC13" s="35" t="s">
        <v>26</v>
      </c>
    </row>
    <row r="14" spans="1:29" ht="15" customHeight="1" thickBot="1" x14ac:dyDescent="0.25">
      <c r="A14" s="75"/>
      <c r="B14" s="85"/>
      <c r="C14" s="42">
        <v>62160</v>
      </c>
      <c r="D14" s="42" t="s">
        <v>119</v>
      </c>
      <c r="E14" s="45">
        <v>71600</v>
      </c>
      <c r="F14" s="46" t="s">
        <v>35</v>
      </c>
      <c r="G14" s="47">
        <f>(50000/300)*60</f>
        <v>10000</v>
      </c>
      <c r="H14" s="131">
        <f>(50000/300)*100</f>
        <v>16666.666666666664</v>
      </c>
      <c r="I14" s="47">
        <f t="shared" ref="I14" si="1">(50000/300)*60</f>
        <v>10000</v>
      </c>
      <c r="J14" s="47">
        <f>(50000/300)*40</f>
        <v>6666.6666666666661</v>
      </c>
      <c r="K14" s="47">
        <f>(50000/300)*40</f>
        <v>6666.6666666666661</v>
      </c>
      <c r="L14" s="44">
        <f t="shared" ref="L14:L18" si="2">SUM(G14:K14)</f>
        <v>49999.999999999993</v>
      </c>
      <c r="M14" s="42">
        <f t="shared" ref="M14:M17" si="3">M13+1</f>
        <v>3</v>
      </c>
      <c r="N14" s="9"/>
      <c r="O14" s="9"/>
      <c r="P14" s="9"/>
      <c r="Q14" s="9"/>
      <c r="R14" s="21"/>
      <c r="U14" s="34"/>
      <c r="V14" s="35"/>
      <c r="W14" s="35"/>
      <c r="X14" s="36"/>
      <c r="Y14" s="37"/>
      <c r="Z14" s="37"/>
      <c r="AA14" s="37"/>
      <c r="AB14" s="37"/>
      <c r="AC14" s="35"/>
    </row>
    <row r="15" spans="1:29" ht="15" customHeight="1" thickBot="1" x14ac:dyDescent="0.25">
      <c r="A15" s="23"/>
      <c r="B15" s="85"/>
      <c r="C15" s="42">
        <v>62160</v>
      </c>
      <c r="D15" s="42" t="s">
        <v>119</v>
      </c>
      <c r="E15" s="45">
        <v>72200</v>
      </c>
      <c r="F15" s="46" t="s">
        <v>43</v>
      </c>
      <c r="G15" s="47">
        <f>(40000/300)*60</f>
        <v>8000.0000000000009</v>
      </c>
      <c r="H15" s="131">
        <f>(40000/300)*100</f>
        <v>13333.333333333334</v>
      </c>
      <c r="I15" s="47">
        <f>(40000/300)*60</f>
        <v>8000.0000000000009</v>
      </c>
      <c r="J15" s="47">
        <f>(40000/300)*40</f>
        <v>5333.3333333333339</v>
      </c>
      <c r="K15" s="47">
        <f>(40000/300)*40</f>
        <v>5333.3333333333339</v>
      </c>
      <c r="L15" s="44">
        <f t="shared" si="2"/>
        <v>40000.000000000007</v>
      </c>
      <c r="M15" s="42">
        <f t="shared" si="3"/>
        <v>4</v>
      </c>
      <c r="N15" s="10"/>
      <c r="O15" s="10"/>
      <c r="P15" s="10"/>
      <c r="Q15" s="9"/>
      <c r="R15" s="18">
        <v>3</v>
      </c>
      <c r="U15" s="34">
        <v>62000</v>
      </c>
      <c r="V15" s="35" t="s">
        <v>20</v>
      </c>
      <c r="W15" s="35">
        <v>72100</v>
      </c>
      <c r="X15" s="36" t="s">
        <v>27</v>
      </c>
      <c r="Y15" s="37">
        <v>30000</v>
      </c>
      <c r="Z15" s="37">
        <v>24000</v>
      </c>
      <c r="AA15" s="37">
        <v>7200</v>
      </c>
      <c r="AB15" s="37">
        <v>61200</v>
      </c>
      <c r="AC15" s="35" t="s">
        <v>28</v>
      </c>
    </row>
    <row r="16" spans="1:29" ht="15" customHeight="1" thickBot="1" x14ac:dyDescent="0.25">
      <c r="A16" s="48"/>
      <c r="B16" s="85"/>
      <c r="C16" s="42">
        <v>62160</v>
      </c>
      <c r="D16" s="42" t="s">
        <v>119</v>
      </c>
      <c r="E16" s="45">
        <v>75700</v>
      </c>
      <c r="F16" s="82" t="s">
        <v>44</v>
      </c>
      <c r="G16" s="47">
        <f>(220000/300)*60</f>
        <v>44000</v>
      </c>
      <c r="H16" s="131">
        <f>(220000/300)*100</f>
        <v>73333.333333333343</v>
      </c>
      <c r="I16" s="47">
        <f>(220000/300)*60</f>
        <v>44000</v>
      </c>
      <c r="J16" s="47">
        <f>(220000/300)*40</f>
        <v>29333.333333333336</v>
      </c>
      <c r="K16" s="47">
        <f>(220000/300)*40</f>
        <v>29333.333333333336</v>
      </c>
      <c r="L16" s="44">
        <f t="shared" si="2"/>
        <v>220000.00000000003</v>
      </c>
      <c r="M16" s="42">
        <f t="shared" si="3"/>
        <v>5</v>
      </c>
      <c r="N16" s="10"/>
      <c r="O16" s="10"/>
      <c r="P16" s="10"/>
      <c r="Q16" s="9"/>
      <c r="R16" s="18">
        <v>4</v>
      </c>
      <c r="U16" s="34">
        <v>62000</v>
      </c>
      <c r="V16" s="35" t="s">
        <v>20</v>
      </c>
      <c r="W16" s="35">
        <v>75700</v>
      </c>
      <c r="X16" s="36" t="s">
        <v>29</v>
      </c>
      <c r="Y16" s="37">
        <v>20000</v>
      </c>
      <c r="Z16" s="37">
        <v>20000</v>
      </c>
      <c r="AA16" s="36" t="s">
        <v>22</v>
      </c>
      <c r="AB16" s="37">
        <v>40000</v>
      </c>
      <c r="AC16" s="35" t="s">
        <v>30</v>
      </c>
    </row>
    <row r="17" spans="1:29" ht="15" customHeight="1" thickBot="1" x14ac:dyDescent="0.25">
      <c r="A17" s="48"/>
      <c r="B17" s="85"/>
      <c r="C17" s="81">
        <v>62160</v>
      </c>
      <c r="D17" s="53" t="s">
        <v>119</v>
      </c>
      <c r="E17" s="51">
        <f>IFERROR(VLOOKUP(TBWP!F17,accounts!A:B,2,FALSE), " ")</f>
        <v>74200</v>
      </c>
      <c r="F17" s="58" t="s">
        <v>59</v>
      </c>
      <c r="G17" s="47">
        <f>(20000/300)*60</f>
        <v>4000.0000000000005</v>
      </c>
      <c r="H17" s="131">
        <f>(20000/300)*80</f>
        <v>5333.3333333333339</v>
      </c>
      <c r="I17" s="47">
        <f t="shared" ref="I17" si="4">(20000/300)*60</f>
        <v>4000.0000000000005</v>
      </c>
      <c r="J17" s="47">
        <f>(20000/300)*40</f>
        <v>2666.666666666667</v>
      </c>
      <c r="K17" s="47">
        <f>(20000/300)*60</f>
        <v>4000.0000000000005</v>
      </c>
      <c r="L17" s="44">
        <f t="shared" si="2"/>
        <v>20000</v>
      </c>
      <c r="M17" s="42">
        <f t="shared" si="3"/>
        <v>6</v>
      </c>
      <c r="N17" s="10"/>
      <c r="O17" s="10"/>
      <c r="P17" s="10"/>
      <c r="Q17" s="9"/>
      <c r="R17" s="18"/>
      <c r="U17" s="34"/>
      <c r="V17" s="35"/>
      <c r="W17" s="35"/>
      <c r="X17" s="36"/>
      <c r="Y17" s="37"/>
      <c r="Z17" s="37"/>
      <c r="AA17" s="36"/>
      <c r="AB17" s="37"/>
      <c r="AC17" s="35"/>
    </row>
    <row r="18" spans="1:29" ht="15" customHeight="1" thickBot="1" x14ac:dyDescent="0.25">
      <c r="A18" s="48"/>
      <c r="B18" s="85"/>
      <c r="C18" s="42">
        <v>62160</v>
      </c>
      <c r="D18" s="42" t="s">
        <v>119</v>
      </c>
      <c r="E18" s="45">
        <v>74500</v>
      </c>
      <c r="F18" s="46" t="s">
        <v>31</v>
      </c>
      <c r="G18" s="47">
        <v>2000</v>
      </c>
      <c r="H18" s="131">
        <v>2000</v>
      </c>
      <c r="I18" s="47">
        <v>2000</v>
      </c>
      <c r="J18" s="47">
        <v>2000</v>
      </c>
      <c r="K18" s="47">
        <v>2000</v>
      </c>
      <c r="L18" s="44">
        <f t="shared" si="2"/>
        <v>10000</v>
      </c>
      <c r="M18" s="42">
        <f>M17+1</f>
        <v>7</v>
      </c>
      <c r="N18" s="10"/>
      <c r="O18" s="10"/>
      <c r="P18" s="10"/>
      <c r="Q18" s="9"/>
      <c r="R18" s="18">
        <v>5</v>
      </c>
      <c r="U18" s="34">
        <v>62000</v>
      </c>
      <c r="V18" s="35" t="s">
        <v>20</v>
      </c>
      <c r="W18" s="35">
        <v>74500</v>
      </c>
      <c r="X18" s="36" t="s">
        <v>31</v>
      </c>
      <c r="Y18" s="37">
        <v>1475</v>
      </c>
      <c r="Z18" s="37">
        <v>1475</v>
      </c>
      <c r="AA18" s="36">
        <v>450</v>
      </c>
      <c r="AB18" s="37">
        <v>3400</v>
      </c>
      <c r="AC18" s="35" t="s">
        <v>32</v>
      </c>
    </row>
    <row r="19" spans="1:29" ht="15" customHeight="1" thickBot="1" x14ac:dyDescent="0.25">
      <c r="A19" s="49"/>
      <c r="B19" s="86"/>
      <c r="C19" s="68"/>
      <c r="D19" s="68"/>
      <c r="E19" s="68"/>
      <c r="F19" s="70" t="s">
        <v>40</v>
      </c>
      <c r="G19" s="68">
        <f>SUM(G12:G18)</f>
        <v>113000</v>
      </c>
      <c r="H19" s="68">
        <f>SUM(H12:H18)</f>
        <v>185666.66666666666</v>
      </c>
      <c r="I19" s="68">
        <f>SUM(I12:I18)</f>
        <v>113000</v>
      </c>
      <c r="J19" s="68">
        <f>SUM(J12:J18)</f>
        <v>82000.000000000015</v>
      </c>
      <c r="K19" s="68">
        <f>SUM(K12:K18)</f>
        <v>83333.333333333343</v>
      </c>
      <c r="L19" s="69">
        <f t="shared" ref="L19:L48" si="5">SUM(G19:K19)</f>
        <v>577000</v>
      </c>
      <c r="M19" s="69"/>
      <c r="N19" s="11"/>
      <c r="O19" s="11"/>
      <c r="P19" s="11"/>
      <c r="Q19" s="11"/>
      <c r="R19" s="22"/>
      <c r="U19" s="34">
        <v>62000</v>
      </c>
      <c r="V19" s="35" t="s">
        <v>20</v>
      </c>
      <c r="W19" s="35">
        <v>75700</v>
      </c>
      <c r="X19" s="36" t="s">
        <v>33</v>
      </c>
      <c r="Y19" s="36">
        <v>714</v>
      </c>
      <c r="Z19" s="36">
        <v>714</v>
      </c>
      <c r="AA19" s="36">
        <v>286</v>
      </c>
      <c r="AB19" s="37">
        <v>1714</v>
      </c>
      <c r="AC19" s="35" t="s">
        <v>34</v>
      </c>
    </row>
    <row r="20" spans="1:29" ht="15" customHeight="1" thickTop="1" thickBot="1" x14ac:dyDescent="0.25">
      <c r="A20" s="50" t="s">
        <v>19</v>
      </c>
      <c r="B20" s="90" t="s">
        <v>117</v>
      </c>
      <c r="C20" s="42">
        <v>62160</v>
      </c>
      <c r="D20" s="42" t="s">
        <v>119</v>
      </c>
      <c r="E20" s="51">
        <f>IFERROR(VLOOKUP(TBWP!F20,accounts!A:B,2,FALSE), " ")</f>
        <v>71200</v>
      </c>
      <c r="F20" s="52" t="s">
        <v>21</v>
      </c>
      <c r="G20" s="53">
        <f>600*15</f>
        <v>9000</v>
      </c>
      <c r="H20" s="131">
        <f>600*40</f>
        <v>24000</v>
      </c>
      <c r="I20" s="53">
        <f>600*50</f>
        <v>30000</v>
      </c>
      <c r="J20" s="53">
        <f>600*45</f>
        <v>27000</v>
      </c>
      <c r="K20" s="53">
        <f>600*45</f>
        <v>27000</v>
      </c>
      <c r="L20" s="44">
        <f t="shared" si="5"/>
        <v>117000</v>
      </c>
      <c r="M20" s="42">
        <f>M18+1</f>
        <v>8</v>
      </c>
      <c r="N20" s="10"/>
      <c r="O20" s="10"/>
      <c r="P20" s="10"/>
      <c r="Q20" s="9"/>
      <c r="R20" s="18">
        <v>13</v>
      </c>
      <c r="U20" s="34">
        <v>62000</v>
      </c>
      <c r="V20" s="35" t="s">
        <v>20</v>
      </c>
      <c r="W20" s="35">
        <v>71600</v>
      </c>
      <c r="X20" s="36" t="s">
        <v>35</v>
      </c>
      <c r="Y20" s="36">
        <v>200</v>
      </c>
      <c r="Z20" s="36">
        <v>400</v>
      </c>
      <c r="AA20" s="36">
        <v>100</v>
      </c>
      <c r="AB20" s="36">
        <v>700</v>
      </c>
      <c r="AC20" s="35" t="s">
        <v>36</v>
      </c>
    </row>
    <row r="21" spans="1:29" ht="15" customHeight="1" thickBot="1" x14ac:dyDescent="0.25">
      <c r="A21" s="50" t="s">
        <v>41</v>
      </c>
      <c r="B21" s="90"/>
      <c r="C21" s="42">
        <v>62160</v>
      </c>
      <c r="D21" s="42" t="s">
        <v>119</v>
      </c>
      <c r="E21" s="51">
        <f>IFERROR(VLOOKUP(TBWP!F21,accounts!A:B,2,FALSE), " ")</f>
        <v>71300</v>
      </c>
      <c r="F21" s="52" t="s">
        <v>25</v>
      </c>
      <c r="G21" s="53">
        <f>200*60</f>
        <v>12000</v>
      </c>
      <c r="H21" s="131">
        <f>200*70</f>
        <v>14000</v>
      </c>
      <c r="I21" s="53">
        <f>200*80</f>
        <v>16000</v>
      </c>
      <c r="J21" s="53">
        <f>200*70</f>
        <v>14000</v>
      </c>
      <c r="K21" s="53">
        <f>200*70</f>
        <v>14000</v>
      </c>
      <c r="L21" s="44">
        <f t="shared" si="5"/>
        <v>70000</v>
      </c>
      <c r="M21" s="42">
        <f>M20+1</f>
        <v>9</v>
      </c>
      <c r="N21" s="10"/>
      <c r="O21" s="10"/>
      <c r="P21" s="10"/>
      <c r="Q21" s="9"/>
      <c r="R21" s="18">
        <v>14</v>
      </c>
      <c r="U21" s="34">
        <v>62000</v>
      </c>
      <c r="V21" s="35" t="s">
        <v>20</v>
      </c>
      <c r="W21" s="35">
        <v>72500</v>
      </c>
      <c r="X21" s="36" t="s">
        <v>37</v>
      </c>
      <c r="Y21" s="36">
        <v>50</v>
      </c>
      <c r="Z21" s="36">
        <v>50</v>
      </c>
      <c r="AA21" s="36">
        <v>50</v>
      </c>
      <c r="AB21" s="36">
        <v>150</v>
      </c>
      <c r="AC21" s="35" t="s">
        <v>38</v>
      </c>
    </row>
    <row r="22" spans="1:29" ht="15" customHeight="1" thickBot="1" x14ac:dyDescent="0.25">
      <c r="A22" s="77"/>
      <c r="B22" s="90"/>
      <c r="C22" s="42">
        <v>62160</v>
      </c>
      <c r="D22" s="42" t="s">
        <v>119</v>
      </c>
      <c r="E22" s="51">
        <f>IFERROR(VLOOKUP(TBWP!F22,accounts!A:B,2,FALSE), " ")</f>
        <v>71600</v>
      </c>
      <c r="F22" s="52" t="s">
        <v>35</v>
      </c>
      <c r="G22" s="53">
        <f>(80000/270)*20</f>
        <v>5925.9259259259261</v>
      </c>
      <c r="H22" s="131">
        <f>(80000/270)*60</f>
        <v>17777.777777777777</v>
      </c>
      <c r="I22" s="53">
        <f>(80000/270)*70</f>
        <v>20740.740740740741</v>
      </c>
      <c r="J22" s="53">
        <f t="shared" ref="J22:K22" si="6">(80000/270)*60</f>
        <v>17777.777777777777</v>
      </c>
      <c r="K22" s="53">
        <f t="shared" si="6"/>
        <v>17777.777777777777</v>
      </c>
      <c r="L22" s="44">
        <f t="shared" ref="L22:L23" si="7">SUM(G22:K22)</f>
        <v>80000</v>
      </c>
      <c r="M22" s="42">
        <f>M21+1</f>
        <v>10</v>
      </c>
      <c r="N22" s="10"/>
      <c r="O22" s="10"/>
      <c r="P22" s="10"/>
      <c r="Q22" s="9"/>
      <c r="R22" s="18"/>
      <c r="U22" s="34"/>
      <c r="V22" s="35"/>
      <c r="W22" s="35"/>
      <c r="X22" s="36"/>
      <c r="Y22" s="36"/>
      <c r="Z22" s="36"/>
      <c r="AA22" s="36"/>
      <c r="AB22" s="36"/>
      <c r="AC22" s="35"/>
    </row>
    <row r="23" spans="1:29" ht="15" customHeight="1" thickBot="1" x14ac:dyDescent="0.25">
      <c r="A23" s="23"/>
      <c r="B23" s="90"/>
      <c r="C23" s="42">
        <v>62160</v>
      </c>
      <c r="D23" s="42" t="s">
        <v>119</v>
      </c>
      <c r="E23" s="51">
        <f>IFERROR(VLOOKUP(TBWP!F23,accounts!A:B,2,FALSE), " ")</f>
        <v>72100</v>
      </c>
      <c r="F23" s="52" t="s">
        <v>42</v>
      </c>
      <c r="G23" s="53">
        <f>(1398300/270)*20</f>
        <v>103577.77777777778</v>
      </c>
      <c r="H23" s="131">
        <f>(1398300/270)*60</f>
        <v>310733.33333333331</v>
      </c>
      <c r="I23" s="53">
        <f>(1398300/270)*70</f>
        <v>362522.22222222219</v>
      </c>
      <c r="J23" s="53">
        <f>(1398300/270)*60</f>
        <v>310733.33333333331</v>
      </c>
      <c r="K23" s="53">
        <f>(1398300/270)*60</f>
        <v>310733.33333333331</v>
      </c>
      <c r="L23" s="44">
        <f t="shared" si="7"/>
        <v>1398299.9999999998</v>
      </c>
      <c r="M23" s="42">
        <f t="shared" ref="M23:M26" si="8">M22+1</f>
        <v>11</v>
      </c>
      <c r="N23" s="10"/>
      <c r="O23" s="10"/>
      <c r="P23" s="10"/>
      <c r="Q23" s="9"/>
      <c r="R23" s="18">
        <v>15</v>
      </c>
      <c r="U23" s="34">
        <v>62000</v>
      </c>
      <c r="V23" s="35" t="s">
        <v>20</v>
      </c>
      <c r="W23" s="35">
        <v>74500</v>
      </c>
      <c r="X23" s="36" t="s">
        <v>31</v>
      </c>
      <c r="Y23" s="36">
        <v>100</v>
      </c>
      <c r="Z23" s="36">
        <v>100</v>
      </c>
      <c r="AA23" s="36">
        <v>100</v>
      </c>
      <c r="AB23" s="36">
        <v>300</v>
      </c>
      <c r="AC23" s="35" t="s">
        <v>39</v>
      </c>
    </row>
    <row r="24" spans="1:29" ht="15" customHeight="1" thickBot="1" x14ac:dyDescent="0.25">
      <c r="A24" s="54"/>
      <c r="B24" s="90"/>
      <c r="C24" s="42">
        <v>62160</v>
      </c>
      <c r="D24" s="42" t="s">
        <v>119</v>
      </c>
      <c r="E24" s="51">
        <v>72300</v>
      </c>
      <c r="F24" s="52" t="s">
        <v>50</v>
      </c>
      <c r="G24" s="53">
        <f>(400000/270)*20</f>
        <v>29629.629629629631</v>
      </c>
      <c r="H24" s="131">
        <f>(400000/270)*60</f>
        <v>88888.888888888891</v>
      </c>
      <c r="I24" s="53">
        <f>(400000/270)*70</f>
        <v>103703.70370370371</v>
      </c>
      <c r="J24" s="53">
        <f t="shared" ref="J24:K24" si="9">(400000/270)*60</f>
        <v>88888.888888888891</v>
      </c>
      <c r="K24" s="53">
        <f t="shared" si="9"/>
        <v>88888.888888888891</v>
      </c>
      <c r="L24" s="44">
        <f t="shared" si="5"/>
        <v>400000</v>
      </c>
      <c r="M24" s="42">
        <f t="shared" si="8"/>
        <v>12</v>
      </c>
      <c r="N24" s="10"/>
      <c r="O24" s="10"/>
      <c r="P24" s="10"/>
      <c r="Q24" s="9"/>
      <c r="R24" s="18"/>
    </row>
    <row r="25" spans="1:29" ht="15" customHeight="1" thickBot="1" x14ac:dyDescent="0.25">
      <c r="A25" s="54"/>
      <c r="B25" s="90"/>
      <c r="C25" s="81">
        <v>62160</v>
      </c>
      <c r="D25" s="53" t="s">
        <v>119</v>
      </c>
      <c r="E25" s="81">
        <f>IFERROR(VLOOKUP(TBWP!F25,accounts!A:B,2,FALSE), " ")</f>
        <v>75700</v>
      </c>
      <c r="F25" s="53" t="s">
        <v>44</v>
      </c>
      <c r="G25" s="53">
        <f>(100000/270)*20</f>
        <v>7407.4074074074078</v>
      </c>
      <c r="H25" s="131">
        <f>(100000/270)*60</f>
        <v>22222.222222222223</v>
      </c>
      <c r="I25" s="53">
        <f>(100000/270)*70</f>
        <v>25925.925925925927</v>
      </c>
      <c r="J25" s="53">
        <f t="shared" ref="J25:K25" si="10">(100000/270)*60</f>
        <v>22222.222222222223</v>
      </c>
      <c r="K25" s="53">
        <f t="shared" si="10"/>
        <v>22222.222222222223</v>
      </c>
      <c r="L25" s="44">
        <f t="shared" si="5"/>
        <v>100000</v>
      </c>
      <c r="M25" s="42">
        <f t="shared" si="8"/>
        <v>13</v>
      </c>
      <c r="N25" s="10"/>
      <c r="O25" s="10"/>
      <c r="P25" s="10"/>
      <c r="Q25" s="9"/>
      <c r="R25" s="18"/>
    </row>
    <row r="26" spans="1:29" ht="15" customHeight="1" thickBot="1" x14ac:dyDescent="0.25">
      <c r="A26" s="54"/>
      <c r="B26" s="90"/>
      <c r="C26" s="81">
        <v>62160</v>
      </c>
      <c r="D26" s="53" t="s">
        <v>119</v>
      </c>
      <c r="E26" s="51">
        <f>IFERROR(VLOOKUP(TBWP!F26,accounts!A:B,2,FALSE), " ")</f>
        <v>74200</v>
      </c>
      <c r="F26" s="58" t="s">
        <v>59</v>
      </c>
      <c r="G26" s="47">
        <f>(20000/300)*60</f>
        <v>4000.0000000000005</v>
      </c>
      <c r="H26" s="131">
        <f>(20000/300)*80</f>
        <v>5333.3333333333339</v>
      </c>
      <c r="I26" s="47">
        <f t="shared" ref="I26" si="11">(20000/300)*60</f>
        <v>4000.0000000000005</v>
      </c>
      <c r="J26" s="47">
        <f>(20000/300)*40</f>
        <v>2666.666666666667</v>
      </c>
      <c r="K26" s="47">
        <f>(20000/300)*60</f>
        <v>4000.0000000000005</v>
      </c>
      <c r="L26" s="44">
        <f t="shared" si="5"/>
        <v>20000</v>
      </c>
      <c r="M26" s="42">
        <f t="shared" si="8"/>
        <v>14</v>
      </c>
      <c r="N26" s="10"/>
      <c r="O26" s="10"/>
      <c r="P26" s="10"/>
      <c r="Q26" s="9"/>
      <c r="R26" s="18"/>
    </row>
    <row r="27" spans="1:29" ht="15" customHeight="1" thickBot="1" x14ac:dyDescent="0.25">
      <c r="A27" s="54"/>
      <c r="B27" s="90"/>
      <c r="C27" s="42">
        <v>62160</v>
      </c>
      <c r="D27" s="42" t="s">
        <v>119</v>
      </c>
      <c r="E27" s="45">
        <v>74500</v>
      </c>
      <c r="F27" s="53" t="s">
        <v>31</v>
      </c>
      <c r="G27" s="53">
        <v>2500</v>
      </c>
      <c r="H27" s="131">
        <v>2500</v>
      </c>
      <c r="I27" s="53">
        <v>2500</v>
      </c>
      <c r="J27" s="53">
        <v>2500</v>
      </c>
      <c r="K27" s="53">
        <v>2500</v>
      </c>
      <c r="L27" s="44">
        <f t="shared" si="5"/>
        <v>12500</v>
      </c>
      <c r="M27" s="42">
        <f>M26+1</f>
        <v>15</v>
      </c>
      <c r="N27" s="10"/>
      <c r="O27" s="10"/>
      <c r="P27" s="10"/>
      <c r="Q27" s="9"/>
      <c r="R27" s="18">
        <v>18</v>
      </c>
    </row>
    <row r="28" spans="1:29" ht="15" customHeight="1" thickBot="1" x14ac:dyDescent="0.25">
      <c r="A28" s="55"/>
      <c r="B28" s="91"/>
      <c r="C28" s="68"/>
      <c r="D28" s="68"/>
      <c r="E28" s="68"/>
      <c r="F28" s="66" t="s">
        <v>48</v>
      </c>
      <c r="G28" s="68">
        <f>SUM(G20:G27)</f>
        <v>174040.74074074076</v>
      </c>
      <c r="H28" s="68">
        <f t="shared" ref="H28:K28" si="12">SUM(H20:H27)</f>
        <v>485455.55555555556</v>
      </c>
      <c r="I28" s="68">
        <f t="shared" si="12"/>
        <v>565392.59259259258</v>
      </c>
      <c r="J28" s="68">
        <f t="shared" si="12"/>
        <v>485788.88888888893</v>
      </c>
      <c r="K28" s="68">
        <f t="shared" si="12"/>
        <v>487122.22222222225</v>
      </c>
      <c r="L28" s="69">
        <f t="shared" si="5"/>
        <v>2197800</v>
      </c>
      <c r="M28" s="69"/>
      <c r="N28" s="11"/>
      <c r="O28" s="11"/>
      <c r="P28" s="11"/>
      <c r="Q28" s="11"/>
      <c r="R28" s="19"/>
    </row>
    <row r="29" spans="1:29" ht="15" customHeight="1" thickTop="1" thickBot="1" x14ac:dyDescent="0.25">
      <c r="A29" s="50" t="s">
        <v>19</v>
      </c>
      <c r="B29" s="92" t="s">
        <v>117</v>
      </c>
      <c r="C29" s="42">
        <v>62160</v>
      </c>
      <c r="D29" s="42" t="s">
        <v>119</v>
      </c>
      <c r="E29" s="51">
        <f>IFERROR(VLOOKUP(TBWP!F29,accounts!A:B,2,FALSE), " ")</f>
        <v>71200</v>
      </c>
      <c r="F29" s="53" t="s">
        <v>21</v>
      </c>
      <c r="G29" s="53">
        <f>600*20</f>
        <v>12000</v>
      </c>
      <c r="H29" s="53">
        <f>600*40</f>
        <v>24000</v>
      </c>
      <c r="I29" s="53">
        <f>600*30</f>
        <v>18000</v>
      </c>
      <c r="J29" s="53">
        <f>600*30</f>
        <v>18000</v>
      </c>
      <c r="K29" s="53">
        <f>600*55</f>
        <v>33000</v>
      </c>
      <c r="L29" s="44">
        <f t="shared" si="5"/>
        <v>105000</v>
      </c>
      <c r="M29" s="42">
        <f>M27+1</f>
        <v>16</v>
      </c>
      <c r="N29" s="10"/>
      <c r="O29" s="10"/>
      <c r="P29" s="10"/>
      <c r="Q29" s="9"/>
      <c r="R29" s="18">
        <v>24</v>
      </c>
    </row>
    <row r="30" spans="1:29" ht="15" customHeight="1" thickBot="1" x14ac:dyDescent="0.25">
      <c r="A30" s="50" t="s">
        <v>49</v>
      </c>
      <c r="B30" s="90"/>
      <c r="C30" s="42">
        <v>62160</v>
      </c>
      <c r="D30" s="42" t="s">
        <v>119</v>
      </c>
      <c r="E30" s="51">
        <f>IFERROR(VLOOKUP(TBWP!F30,accounts!A:B,2,FALSE), " ")</f>
        <v>71300</v>
      </c>
      <c r="F30" s="53" t="s">
        <v>25</v>
      </c>
      <c r="G30" s="53">
        <f>200*60</f>
        <v>12000</v>
      </c>
      <c r="H30" s="53">
        <f>200*120</f>
        <v>24000</v>
      </c>
      <c r="I30" s="53">
        <f t="shared" ref="I30:J30" si="13">200*60</f>
        <v>12000</v>
      </c>
      <c r="J30" s="53">
        <f t="shared" si="13"/>
        <v>12000</v>
      </c>
      <c r="K30" s="53">
        <f>200*120</f>
        <v>24000</v>
      </c>
      <c r="L30" s="44">
        <f t="shared" si="5"/>
        <v>84000</v>
      </c>
      <c r="M30" s="42">
        <f>M29+1</f>
        <v>17</v>
      </c>
      <c r="N30" s="10"/>
      <c r="O30" s="10"/>
      <c r="P30" s="10"/>
      <c r="Q30" s="9"/>
      <c r="R30" s="18">
        <v>25</v>
      </c>
    </row>
    <row r="31" spans="1:29" ht="15" customHeight="1" thickBot="1" x14ac:dyDescent="0.25">
      <c r="A31" s="50"/>
      <c r="B31" s="90"/>
      <c r="C31" s="42">
        <v>62160</v>
      </c>
      <c r="D31" s="42" t="s">
        <v>119</v>
      </c>
      <c r="E31" s="45">
        <v>71600</v>
      </c>
      <c r="F31" s="53" t="s">
        <v>35</v>
      </c>
      <c r="G31" s="53">
        <f>(100000/420)*60</f>
        <v>14285.714285714286</v>
      </c>
      <c r="H31" s="53">
        <f>(100000/420)*120</f>
        <v>28571.428571428572</v>
      </c>
      <c r="I31" s="53">
        <f t="shared" ref="I31:J31" si="14">(100000/420)*60</f>
        <v>14285.714285714286</v>
      </c>
      <c r="J31" s="53">
        <f t="shared" si="14"/>
        <v>14285.714285714286</v>
      </c>
      <c r="K31" s="53">
        <f>(100000/420)*120</f>
        <v>28571.428571428572</v>
      </c>
      <c r="L31" s="44">
        <f t="shared" si="5"/>
        <v>100000</v>
      </c>
      <c r="M31" s="42">
        <f t="shared" ref="M31:M36" si="15">M30+1</f>
        <v>18</v>
      </c>
      <c r="N31" s="10"/>
      <c r="O31" s="10"/>
      <c r="P31" s="10"/>
      <c r="Q31" s="9"/>
      <c r="R31" s="18"/>
    </row>
    <row r="32" spans="1:29" ht="15" customHeight="1" thickBot="1" x14ac:dyDescent="0.25">
      <c r="A32" s="54"/>
      <c r="B32" s="90"/>
      <c r="C32" s="42">
        <v>62160</v>
      </c>
      <c r="D32" s="42" t="s">
        <v>119</v>
      </c>
      <c r="E32" s="51">
        <f>IFERROR(VLOOKUP(TBWP!F32,accounts!A:B,2,FALSE), " ")</f>
        <v>72100</v>
      </c>
      <c r="F32" s="53" t="s">
        <v>42</v>
      </c>
      <c r="G32" s="53">
        <f>(600000/420)*60</f>
        <v>85714.285714285725</v>
      </c>
      <c r="H32" s="53">
        <f>(600000/420)*120</f>
        <v>171428.57142857145</v>
      </c>
      <c r="I32" s="53">
        <f>(600000/420)*60</f>
        <v>85714.285714285725</v>
      </c>
      <c r="J32" s="53">
        <f>(600000/420)*60</f>
        <v>85714.285714285725</v>
      </c>
      <c r="K32" s="53">
        <f>(600000/420)*120</f>
        <v>171428.57142857145</v>
      </c>
      <c r="L32" s="44">
        <f t="shared" si="5"/>
        <v>600000.00000000012</v>
      </c>
      <c r="M32" s="42">
        <f t="shared" si="15"/>
        <v>19</v>
      </c>
      <c r="N32" s="10"/>
      <c r="O32" s="10"/>
      <c r="P32" s="10"/>
      <c r="Q32" s="9"/>
      <c r="R32" s="18">
        <v>26</v>
      </c>
    </row>
    <row r="33" spans="1:18" ht="15" customHeight="1" thickBot="1" x14ac:dyDescent="0.25">
      <c r="A33" s="56"/>
      <c r="B33" s="90"/>
      <c r="C33" s="42">
        <v>62160</v>
      </c>
      <c r="D33" s="42" t="s">
        <v>119</v>
      </c>
      <c r="E33" s="45">
        <v>72200</v>
      </c>
      <c r="F33" s="53" t="s">
        <v>43</v>
      </c>
      <c r="G33" s="53">
        <f>(130000/420)*60</f>
        <v>18571.428571428572</v>
      </c>
      <c r="H33" s="53">
        <f>(130000/420)*120</f>
        <v>37142.857142857145</v>
      </c>
      <c r="I33" s="53">
        <f>(130000/420)*60</f>
        <v>18571.428571428572</v>
      </c>
      <c r="J33" s="53">
        <f>(130000/420)*60</f>
        <v>18571.428571428572</v>
      </c>
      <c r="K33" s="53">
        <f>(130000/420)*120</f>
        <v>37142.857142857145</v>
      </c>
      <c r="L33" s="44">
        <f t="shared" si="5"/>
        <v>130000.00000000001</v>
      </c>
      <c r="M33" s="42">
        <f t="shared" si="15"/>
        <v>20</v>
      </c>
      <c r="N33" s="10"/>
      <c r="O33" s="10"/>
      <c r="P33" s="10"/>
      <c r="Q33" s="9"/>
      <c r="R33" s="18">
        <v>28</v>
      </c>
    </row>
    <row r="34" spans="1:18" ht="15" customHeight="1" thickBot="1" x14ac:dyDescent="0.25">
      <c r="A34" s="56"/>
      <c r="B34" s="90"/>
      <c r="C34" s="76">
        <v>62160</v>
      </c>
      <c r="D34" s="76" t="s">
        <v>119</v>
      </c>
      <c r="E34" s="60">
        <f>IFERROR(VLOOKUP(TBWP!F34,accounts!A:B,2,FALSE), " ")</f>
        <v>75700</v>
      </c>
      <c r="F34" s="53" t="s">
        <v>44</v>
      </c>
      <c r="G34" s="53">
        <f>(300000/420)*60</f>
        <v>42857.142857142862</v>
      </c>
      <c r="H34" s="53">
        <f>(300000/420)*120</f>
        <v>85714.285714285725</v>
      </c>
      <c r="I34" s="53">
        <f t="shared" ref="I34:J34" si="16">(300000/420)*60</f>
        <v>42857.142857142862</v>
      </c>
      <c r="J34" s="53">
        <f t="shared" si="16"/>
        <v>42857.142857142862</v>
      </c>
      <c r="K34" s="53">
        <f>(300000/420)*120</f>
        <v>85714.285714285725</v>
      </c>
      <c r="L34" s="44">
        <f t="shared" si="5"/>
        <v>300000.00000000006</v>
      </c>
      <c r="M34" s="42">
        <f t="shared" si="15"/>
        <v>21</v>
      </c>
      <c r="N34" s="10"/>
      <c r="O34" s="10"/>
      <c r="P34" s="10"/>
      <c r="Q34" s="9"/>
      <c r="R34" s="18"/>
    </row>
    <row r="35" spans="1:18" ht="15" customHeight="1" thickBot="1" x14ac:dyDescent="0.25">
      <c r="A35" s="56"/>
      <c r="B35" s="93"/>
      <c r="C35" s="81">
        <v>62160</v>
      </c>
      <c r="D35" s="53" t="s">
        <v>119</v>
      </c>
      <c r="E35" s="51">
        <f>IFERROR(VLOOKUP(TBWP!F35,accounts!A:B,2,FALSE), " ")</f>
        <v>74200</v>
      </c>
      <c r="F35" s="58" t="s">
        <v>59</v>
      </c>
      <c r="G35" s="47">
        <f>(20000/300)*60</f>
        <v>4000.0000000000005</v>
      </c>
      <c r="H35" s="47">
        <f>(20000/300)*80</f>
        <v>5333.3333333333339</v>
      </c>
      <c r="I35" s="47">
        <f t="shared" ref="I35" si="17">(20000/300)*60</f>
        <v>4000.0000000000005</v>
      </c>
      <c r="J35" s="47">
        <f>(20000/300)*40</f>
        <v>2666.666666666667</v>
      </c>
      <c r="K35" s="47">
        <f>(20000/300)*60</f>
        <v>4000.0000000000005</v>
      </c>
      <c r="L35" s="44">
        <f t="shared" si="5"/>
        <v>20000</v>
      </c>
      <c r="M35" s="42">
        <f t="shared" si="15"/>
        <v>22</v>
      </c>
      <c r="N35" s="10"/>
      <c r="O35" s="10"/>
      <c r="P35" s="10"/>
      <c r="Q35" s="9"/>
      <c r="R35" s="18"/>
    </row>
    <row r="36" spans="1:18" ht="15" customHeight="1" thickBot="1" x14ac:dyDescent="0.25">
      <c r="A36" s="56"/>
      <c r="B36" s="93"/>
      <c r="C36" s="42">
        <v>62160</v>
      </c>
      <c r="D36" s="42" t="s">
        <v>119</v>
      </c>
      <c r="E36" s="45">
        <v>74500</v>
      </c>
      <c r="F36" s="53" t="s">
        <v>31</v>
      </c>
      <c r="G36" s="53">
        <v>2000</v>
      </c>
      <c r="H36" s="53">
        <v>2000</v>
      </c>
      <c r="I36" s="53">
        <v>2000</v>
      </c>
      <c r="J36" s="53">
        <v>2000</v>
      </c>
      <c r="K36" s="53">
        <v>2000</v>
      </c>
      <c r="L36" s="44">
        <f t="shared" si="5"/>
        <v>10000</v>
      </c>
      <c r="M36" s="42">
        <f t="shared" si="15"/>
        <v>23</v>
      </c>
      <c r="N36" s="10"/>
      <c r="O36" s="10"/>
      <c r="P36" s="10"/>
      <c r="Q36" s="9"/>
      <c r="R36" s="18">
        <v>29</v>
      </c>
    </row>
    <row r="37" spans="1:18" ht="15" customHeight="1" thickBot="1" x14ac:dyDescent="0.25">
      <c r="A37" s="55"/>
      <c r="B37" s="94"/>
      <c r="C37" s="68"/>
      <c r="D37" s="68"/>
      <c r="E37" s="68"/>
      <c r="F37" s="66" t="s">
        <v>52</v>
      </c>
      <c r="G37" s="72">
        <f>SUM(G29:G36)</f>
        <v>191428.57142857145</v>
      </c>
      <c r="H37" s="72">
        <f t="shared" ref="H37:K37" si="18">SUM(H29:H36)</f>
        <v>378190.47619047621</v>
      </c>
      <c r="I37" s="72">
        <f t="shared" si="18"/>
        <v>197428.57142857145</v>
      </c>
      <c r="J37" s="72">
        <f t="shared" si="18"/>
        <v>196095.23809523811</v>
      </c>
      <c r="K37" s="72">
        <f t="shared" si="18"/>
        <v>385857.1428571429</v>
      </c>
      <c r="L37" s="69">
        <f t="shared" si="5"/>
        <v>1349000.0000000002</v>
      </c>
      <c r="M37" s="69"/>
      <c r="N37" s="11"/>
      <c r="O37" s="11"/>
      <c r="P37" s="11"/>
      <c r="Q37" s="11"/>
      <c r="R37" s="19"/>
    </row>
    <row r="38" spans="1:18" ht="15" customHeight="1" thickTop="1" thickBot="1" x14ac:dyDescent="0.25">
      <c r="A38" s="50" t="s">
        <v>19</v>
      </c>
      <c r="B38" s="92" t="s">
        <v>117</v>
      </c>
      <c r="C38" s="81">
        <v>62160</v>
      </c>
      <c r="D38" s="53" t="s">
        <v>119</v>
      </c>
      <c r="E38" s="81">
        <f>IFERROR(VLOOKUP(TBWP!F38,accounts!A:B,2,FALSE), " ")</f>
        <v>71200</v>
      </c>
      <c r="F38" s="53" t="s">
        <v>21</v>
      </c>
      <c r="G38" s="53">
        <v>0</v>
      </c>
      <c r="H38" s="53">
        <v>0</v>
      </c>
      <c r="I38" s="53">
        <f>10*3000</f>
        <v>30000</v>
      </c>
      <c r="J38" s="53">
        <v>0</v>
      </c>
      <c r="K38" s="53">
        <f>11*3000</f>
        <v>33000</v>
      </c>
      <c r="L38" s="53">
        <f t="shared" si="5"/>
        <v>63000</v>
      </c>
      <c r="M38" s="42">
        <f>M36+1</f>
        <v>24</v>
      </c>
      <c r="N38" s="10"/>
      <c r="O38" s="10"/>
      <c r="P38" s="10"/>
      <c r="Q38" s="9"/>
      <c r="R38" s="18" t="s">
        <v>53</v>
      </c>
    </row>
    <row r="39" spans="1:18" ht="15" customHeight="1" thickBot="1" x14ac:dyDescent="0.25">
      <c r="A39" s="50" t="s">
        <v>54</v>
      </c>
      <c r="B39" s="90"/>
      <c r="C39" s="42">
        <v>62160</v>
      </c>
      <c r="D39" s="42" t="s">
        <v>119</v>
      </c>
      <c r="E39" s="51">
        <f>IFERROR(VLOOKUP(TBWP!F39,accounts!A:B,2,FALSE), " ")</f>
        <v>71300</v>
      </c>
      <c r="F39" s="57" t="s">
        <v>25</v>
      </c>
      <c r="G39" s="53">
        <v>0</v>
      </c>
      <c r="H39" s="53">
        <v>0</v>
      </c>
      <c r="I39" s="53">
        <f>9*900</f>
        <v>8100</v>
      </c>
      <c r="J39" s="53">
        <v>0</v>
      </c>
      <c r="K39" s="53">
        <f>9*900</f>
        <v>8100</v>
      </c>
      <c r="L39" s="53">
        <f t="shared" si="5"/>
        <v>16200</v>
      </c>
      <c r="M39" s="42">
        <f>M38+1</f>
        <v>25</v>
      </c>
      <c r="N39" s="10"/>
      <c r="O39" s="10"/>
      <c r="P39" s="10"/>
      <c r="Q39" s="9"/>
      <c r="R39" s="18" t="s">
        <v>55</v>
      </c>
    </row>
    <row r="40" spans="1:18" ht="15" customHeight="1" thickBot="1" x14ac:dyDescent="0.25">
      <c r="A40" s="54"/>
      <c r="B40" s="90"/>
      <c r="C40" s="42">
        <v>62160</v>
      </c>
      <c r="D40" s="42" t="s">
        <v>119</v>
      </c>
      <c r="E40" s="51">
        <f>IFERROR(VLOOKUP(TBWP!F40,accounts!A:B,2,FALSE), " ")</f>
        <v>72100</v>
      </c>
      <c r="F40" s="57" t="s">
        <v>42</v>
      </c>
      <c r="G40" s="53">
        <v>0</v>
      </c>
      <c r="H40" s="53">
        <v>0</v>
      </c>
      <c r="I40" s="53">
        <v>1000</v>
      </c>
      <c r="J40" s="53">
        <v>0</v>
      </c>
      <c r="K40" s="53">
        <v>2000</v>
      </c>
      <c r="L40" s="53">
        <f t="shared" si="5"/>
        <v>3000</v>
      </c>
      <c r="M40" s="42">
        <f t="shared" ref="M40:M43" si="19">M39+1</f>
        <v>26</v>
      </c>
      <c r="N40" s="10"/>
      <c r="O40" s="10"/>
      <c r="P40" s="10"/>
      <c r="Q40" s="9"/>
      <c r="R40" s="18" t="s">
        <v>56</v>
      </c>
    </row>
    <row r="41" spans="1:18" ht="15" customHeight="1" thickBot="1" x14ac:dyDescent="0.25">
      <c r="A41" s="56"/>
      <c r="B41" s="90"/>
      <c r="C41" s="42">
        <v>62160</v>
      </c>
      <c r="D41" s="42" t="s">
        <v>119</v>
      </c>
      <c r="E41" s="51">
        <f>IFERROR(VLOOKUP(TBWP!F41,accounts!A:B,2,FALSE), " ")</f>
        <v>74100</v>
      </c>
      <c r="F41" s="57" t="s">
        <v>57</v>
      </c>
      <c r="G41" s="53">
        <v>3000</v>
      </c>
      <c r="H41" s="53">
        <v>3000</v>
      </c>
      <c r="I41" s="53">
        <v>3000</v>
      </c>
      <c r="J41" s="53">
        <v>3000</v>
      </c>
      <c r="K41" s="53">
        <v>3000</v>
      </c>
      <c r="L41" s="53">
        <f t="shared" si="5"/>
        <v>15000</v>
      </c>
      <c r="M41" s="42">
        <f t="shared" si="19"/>
        <v>27</v>
      </c>
      <c r="N41" s="10"/>
      <c r="O41" s="10"/>
      <c r="P41" s="10"/>
      <c r="Q41" s="9"/>
      <c r="R41" s="18" t="s">
        <v>58</v>
      </c>
    </row>
    <row r="42" spans="1:18" ht="15" customHeight="1" thickBot="1" x14ac:dyDescent="0.25">
      <c r="A42" s="56"/>
      <c r="B42" s="90"/>
      <c r="C42" s="42">
        <v>62160</v>
      </c>
      <c r="D42" s="42" t="s">
        <v>119</v>
      </c>
      <c r="E42" s="51">
        <f>IFERROR(VLOOKUP(TBWP!F42,accounts!A:B,2,FALSE), " ")</f>
        <v>74200</v>
      </c>
      <c r="F42" s="58" t="s">
        <v>59</v>
      </c>
      <c r="G42" s="53">
        <v>0</v>
      </c>
      <c r="H42" s="53">
        <v>0</v>
      </c>
      <c r="I42" s="53">
        <v>1000</v>
      </c>
      <c r="J42" s="53">
        <v>0</v>
      </c>
      <c r="K42" s="53">
        <v>2000</v>
      </c>
      <c r="L42" s="53">
        <f t="shared" si="5"/>
        <v>3000</v>
      </c>
      <c r="M42" s="42">
        <f t="shared" si="19"/>
        <v>28</v>
      </c>
      <c r="N42" s="10"/>
      <c r="O42" s="10"/>
      <c r="P42" s="10"/>
      <c r="Q42" s="9"/>
      <c r="R42" s="18">
        <v>35</v>
      </c>
    </row>
    <row r="43" spans="1:18" ht="15" customHeight="1" thickBot="1" x14ac:dyDescent="0.25">
      <c r="A43" s="56"/>
      <c r="B43" s="90"/>
      <c r="C43" s="42">
        <v>62160</v>
      </c>
      <c r="D43" s="42" t="s">
        <v>119</v>
      </c>
      <c r="E43" s="51">
        <f>IFERROR(VLOOKUP(TBWP!F43,accounts!A:B,2,FALSE), " ")</f>
        <v>75700</v>
      </c>
      <c r="F43" s="58" t="s">
        <v>44</v>
      </c>
      <c r="G43" s="53">
        <v>0</v>
      </c>
      <c r="H43" s="53">
        <v>0</v>
      </c>
      <c r="I43" s="53">
        <v>2000</v>
      </c>
      <c r="J43" s="53">
        <v>0</v>
      </c>
      <c r="K43" s="53">
        <v>4000</v>
      </c>
      <c r="L43" s="53">
        <f t="shared" si="5"/>
        <v>6000</v>
      </c>
      <c r="M43" s="42">
        <f t="shared" si="19"/>
        <v>29</v>
      </c>
      <c r="N43" s="10"/>
      <c r="O43" s="10"/>
      <c r="P43" s="10"/>
      <c r="Q43" s="9"/>
      <c r="R43" s="18">
        <v>36</v>
      </c>
    </row>
    <row r="44" spans="1:18" ht="15" customHeight="1" thickBot="1" x14ac:dyDescent="0.25">
      <c r="A44" s="55"/>
      <c r="B44" s="91"/>
      <c r="C44" s="68"/>
      <c r="D44" s="68"/>
      <c r="E44" s="68"/>
      <c r="F44" s="71" t="s">
        <v>60</v>
      </c>
      <c r="G44" s="72">
        <f>SUM(G38:G43)</f>
        <v>3000</v>
      </c>
      <c r="H44" s="72">
        <f>SUM(H38:H43)</f>
        <v>3000</v>
      </c>
      <c r="I44" s="72">
        <f>SUM(I38:I43)</f>
        <v>45100</v>
      </c>
      <c r="J44" s="72">
        <f>SUM(J38:J43)</f>
        <v>3000</v>
      </c>
      <c r="K44" s="72">
        <f>SUM(K38:K43)</f>
        <v>52100</v>
      </c>
      <c r="L44" s="72">
        <f t="shared" si="5"/>
        <v>106200</v>
      </c>
      <c r="M44" s="69"/>
      <c r="N44" s="11"/>
      <c r="O44" s="11"/>
      <c r="P44" s="11"/>
      <c r="Q44" s="11"/>
      <c r="R44" s="19" t="s">
        <v>61</v>
      </c>
    </row>
    <row r="45" spans="1:18" ht="15" customHeight="1" thickTop="1" thickBot="1" x14ac:dyDescent="0.25">
      <c r="A45" s="59" t="s">
        <v>62</v>
      </c>
      <c r="B45" s="40"/>
      <c r="C45" s="42">
        <v>62160</v>
      </c>
      <c r="D45" s="42" t="s">
        <v>119</v>
      </c>
      <c r="E45" s="60">
        <v>71600</v>
      </c>
      <c r="F45" s="52" t="s">
        <v>35</v>
      </c>
      <c r="G45" s="53">
        <v>7000</v>
      </c>
      <c r="H45" s="53">
        <v>7000</v>
      </c>
      <c r="I45" s="53">
        <v>7000</v>
      </c>
      <c r="J45" s="53">
        <v>7000</v>
      </c>
      <c r="K45" s="53">
        <v>7000</v>
      </c>
      <c r="L45" s="53">
        <f t="shared" si="5"/>
        <v>35000</v>
      </c>
      <c r="M45" s="42">
        <f>M43+1</f>
        <v>30</v>
      </c>
      <c r="N45" s="10"/>
      <c r="O45" s="10"/>
      <c r="P45" s="10"/>
      <c r="Q45" s="9"/>
      <c r="R45" s="18">
        <v>42</v>
      </c>
    </row>
    <row r="46" spans="1:18" ht="15" customHeight="1" thickBot="1" x14ac:dyDescent="0.25">
      <c r="A46" s="61"/>
      <c r="B46" s="40" t="s">
        <v>118</v>
      </c>
      <c r="C46" s="42">
        <v>62160</v>
      </c>
      <c r="D46" s="42" t="s">
        <v>119</v>
      </c>
      <c r="E46" s="60">
        <v>74599</v>
      </c>
      <c r="F46" s="52" t="s">
        <v>123</v>
      </c>
      <c r="G46" s="53">
        <v>34000</v>
      </c>
      <c r="H46" s="53">
        <v>34000</v>
      </c>
      <c r="I46" s="53">
        <v>34000</v>
      </c>
      <c r="J46" s="53">
        <v>34000</v>
      </c>
      <c r="K46" s="53">
        <v>34000</v>
      </c>
      <c r="L46" s="53">
        <f t="shared" si="5"/>
        <v>170000</v>
      </c>
      <c r="M46" s="42">
        <f>M45+1</f>
        <v>31</v>
      </c>
      <c r="N46" s="10"/>
      <c r="O46" s="10"/>
      <c r="P46" s="10"/>
      <c r="Q46" s="9"/>
      <c r="R46" s="18">
        <v>43</v>
      </c>
    </row>
    <row r="47" spans="1:18" ht="23.45" customHeight="1" thickBot="1" x14ac:dyDescent="0.25">
      <c r="A47" s="62" t="s">
        <v>63</v>
      </c>
      <c r="B47" s="63"/>
      <c r="C47" s="42">
        <v>62160</v>
      </c>
      <c r="D47" s="42" t="s">
        <v>119</v>
      </c>
      <c r="E47" s="60">
        <v>74500</v>
      </c>
      <c r="F47" s="52" t="s">
        <v>31</v>
      </c>
      <c r="G47" s="53">
        <v>3000</v>
      </c>
      <c r="H47" s="53">
        <v>3000</v>
      </c>
      <c r="I47" s="53">
        <v>3000</v>
      </c>
      <c r="J47" s="53">
        <v>3000</v>
      </c>
      <c r="K47" s="53">
        <v>3000</v>
      </c>
      <c r="L47" s="53">
        <f t="shared" si="5"/>
        <v>15000</v>
      </c>
      <c r="M47" s="42">
        <f t="shared" ref="M47" si="20">M46+1</f>
        <v>32</v>
      </c>
      <c r="N47" s="10"/>
      <c r="O47" s="10"/>
      <c r="P47" s="10"/>
      <c r="Q47" s="9"/>
      <c r="R47" s="18">
        <v>44</v>
      </c>
    </row>
    <row r="48" spans="1:18" ht="15" customHeight="1" thickBot="1" x14ac:dyDescent="0.25">
      <c r="A48" s="62"/>
      <c r="B48" s="63"/>
      <c r="C48" s="68"/>
      <c r="D48" s="68"/>
      <c r="E48" s="68"/>
      <c r="F48" s="70" t="s">
        <v>67</v>
      </c>
      <c r="G48" s="73">
        <f>SUM(G45:G47)</f>
        <v>44000</v>
      </c>
      <c r="H48" s="68">
        <f>SUM(H45:H47)</f>
        <v>44000</v>
      </c>
      <c r="I48" s="68">
        <f>SUM(I45:I47)</f>
        <v>44000</v>
      </c>
      <c r="J48" s="68">
        <f>SUM(J45:J47)</f>
        <v>44000</v>
      </c>
      <c r="K48" s="68">
        <f>SUM(K45:K47)</f>
        <v>44000</v>
      </c>
      <c r="L48" s="67">
        <f t="shared" si="5"/>
        <v>220000</v>
      </c>
      <c r="M48" s="69"/>
      <c r="N48" s="11"/>
      <c r="O48" s="11"/>
      <c r="P48" s="11"/>
      <c r="Q48" s="11"/>
      <c r="R48" s="19"/>
    </row>
    <row r="49" spans="1:18" ht="15" customHeight="1" thickTop="1" thickBot="1" x14ac:dyDescent="0.25">
      <c r="A49" s="64"/>
      <c r="B49" s="65"/>
      <c r="C49" s="89"/>
      <c r="D49" s="89"/>
      <c r="E49" s="89" t="s">
        <v>68</v>
      </c>
      <c r="F49" s="89"/>
      <c r="G49" s="74">
        <f t="shared" ref="G49:L49" si="21">G48+G44+G37+G28+G19</f>
        <v>525469.31216931227</v>
      </c>
      <c r="H49" s="74">
        <f t="shared" si="21"/>
        <v>1096312.6984126985</v>
      </c>
      <c r="I49" s="74">
        <f t="shared" si="21"/>
        <v>964921.16402116406</v>
      </c>
      <c r="J49" s="74">
        <f t="shared" si="21"/>
        <v>810884.1269841271</v>
      </c>
      <c r="K49" s="74">
        <f t="shared" si="21"/>
        <v>1052412.6984126985</v>
      </c>
      <c r="L49" s="74">
        <f t="shared" si="21"/>
        <v>4450000</v>
      </c>
      <c r="M49" s="74"/>
      <c r="N49" s="12"/>
      <c r="O49" s="12"/>
      <c r="P49" s="12"/>
      <c r="Q49" s="12"/>
      <c r="R49" s="18"/>
    </row>
    <row r="50" spans="1:18" ht="12.75" thickBot="1" x14ac:dyDescent="0.25">
      <c r="G50" s="78"/>
      <c r="H50" s="78"/>
      <c r="I50" s="78"/>
      <c r="J50" s="78"/>
      <c r="K50" s="78"/>
      <c r="L50" s="78">
        <f t="shared" ref="L50" si="22">L48+L44+L37+L28+L19</f>
        <v>4450000</v>
      </c>
    </row>
    <row r="51" spans="1:18" ht="12.75" thickBot="1" x14ac:dyDescent="0.25">
      <c r="E51" s="83"/>
      <c r="L51" s="78">
        <f>4450000-L49</f>
        <v>0</v>
      </c>
    </row>
    <row r="52" spans="1:18" x14ac:dyDescent="0.2">
      <c r="A52" s="7" t="s">
        <v>69</v>
      </c>
    </row>
    <row r="53" spans="1:18" x14ac:dyDescent="0.2">
      <c r="A53" s="7" t="s">
        <v>70</v>
      </c>
    </row>
    <row r="54" spans="1:18" x14ac:dyDescent="0.2">
      <c r="A54" s="7" t="s">
        <v>71</v>
      </c>
    </row>
    <row r="56" spans="1:18" x14ac:dyDescent="0.2">
      <c r="A56" s="7" t="s">
        <v>72</v>
      </c>
    </row>
    <row r="57" spans="1:18" x14ac:dyDescent="0.2">
      <c r="A57" s="7" t="s">
        <v>73</v>
      </c>
    </row>
    <row r="58" spans="1:18" x14ac:dyDescent="0.2">
      <c r="A58" s="7" t="s">
        <v>74</v>
      </c>
    </row>
    <row r="59" spans="1:18" x14ac:dyDescent="0.2">
      <c r="A59" s="7" t="s">
        <v>75</v>
      </c>
    </row>
    <row r="60" spans="1:18" x14ac:dyDescent="0.2">
      <c r="A60" s="7" t="s">
        <v>76</v>
      </c>
    </row>
    <row r="61" spans="1:18" x14ac:dyDescent="0.2">
      <c r="A61" s="7" t="s">
        <v>77</v>
      </c>
    </row>
    <row r="62" spans="1:18" x14ac:dyDescent="0.2">
      <c r="A62" s="7" t="s">
        <v>78</v>
      </c>
    </row>
    <row r="63" spans="1:18" x14ac:dyDescent="0.2">
      <c r="A63" s="7" t="s">
        <v>79</v>
      </c>
    </row>
  </sheetData>
  <mergeCells count="29">
    <mergeCell ref="A2:D2"/>
    <mergeCell ref="M10:M11"/>
    <mergeCell ref="N10:N11"/>
    <mergeCell ref="O10:O11"/>
    <mergeCell ref="B4:D4"/>
    <mergeCell ref="B5:D5"/>
    <mergeCell ref="B6:D6"/>
    <mergeCell ref="B7:D7"/>
    <mergeCell ref="B8:D8"/>
    <mergeCell ref="A10:A11"/>
    <mergeCell ref="C10:C11"/>
    <mergeCell ref="D10:D11"/>
    <mergeCell ref="E10:E11"/>
    <mergeCell ref="F10:F11"/>
    <mergeCell ref="K10:K11"/>
    <mergeCell ref="Q10:Q11"/>
    <mergeCell ref="R10:R11"/>
    <mergeCell ref="G10:G11"/>
    <mergeCell ref="P10:P11"/>
    <mergeCell ref="H10:H11"/>
    <mergeCell ref="J10:J11"/>
    <mergeCell ref="B12:B19"/>
    <mergeCell ref="I10:I11"/>
    <mergeCell ref="L10:L11"/>
    <mergeCell ref="E49:F49"/>
    <mergeCell ref="B20:B28"/>
    <mergeCell ref="B29:B37"/>
    <mergeCell ref="B38:B44"/>
    <mergeCell ref="C49:D49"/>
  </mergeCells>
  <hyperlinks>
    <hyperlink ref="A3" location="_ftn1" display="_ftn1"/>
    <hyperlink ref="B10" location="_ftn1" display="_ftn1"/>
    <hyperlink ref="A45" location="_ftn3" display="_ftn3"/>
    <hyperlink ref="A54" location="_ftnref3" display="_ftnref3"/>
    <hyperlink ref="A53" location="_ftnref2" display="_ftnref2"/>
    <hyperlink ref="A52" location="_ftnref1" display="_ftnref1"/>
  </hyperlinks>
  <pageMargins left="0.7" right="0.7" top="0.75" bottom="0.75" header="0.3" footer="0.3"/>
  <pageSetup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workbookViewId="0">
      <selection activeCell="N7" sqref="N7"/>
    </sheetView>
  </sheetViews>
  <sheetFormatPr baseColWidth="10" defaultColWidth="9.140625" defaultRowHeight="15" x14ac:dyDescent="0.25"/>
  <cols>
    <col min="5" max="5" width="15.140625" customWidth="1"/>
    <col min="14" max="14" width="8.85546875" customWidth="1"/>
  </cols>
  <sheetData>
    <row r="1" spans="1:14" ht="36.75" thickBot="1" x14ac:dyDescent="0.3">
      <c r="A1" s="8" t="s">
        <v>80</v>
      </c>
      <c r="B1" s="125"/>
      <c r="C1" s="125"/>
      <c r="D1" s="29"/>
      <c r="E1" s="29"/>
      <c r="F1" s="116"/>
      <c r="G1" s="116"/>
      <c r="H1" s="24"/>
      <c r="I1" s="24"/>
      <c r="J1" s="116"/>
      <c r="K1" s="116"/>
      <c r="L1" s="116"/>
      <c r="M1" s="116"/>
      <c r="N1" s="116"/>
    </row>
    <row r="2" spans="1:14" x14ac:dyDescent="0.25">
      <c r="A2" s="117"/>
      <c r="B2" s="118"/>
      <c r="C2" s="119"/>
      <c r="D2" s="120"/>
      <c r="E2" s="121"/>
      <c r="F2" s="27" t="s">
        <v>81</v>
      </c>
      <c r="G2" s="27" t="s">
        <v>81</v>
      </c>
      <c r="H2" s="27" t="s">
        <v>81</v>
      </c>
      <c r="I2" s="27" t="s">
        <v>81</v>
      </c>
      <c r="J2" s="27" t="s">
        <v>81</v>
      </c>
      <c r="K2" s="27" t="s">
        <v>81</v>
      </c>
      <c r="L2" s="27" t="s">
        <v>81</v>
      </c>
      <c r="M2" s="27" t="s">
        <v>81</v>
      </c>
      <c r="N2" s="129" t="s">
        <v>82</v>
      </c>
    </row>
    <row r="3" spans="1:14" ht="15.75" thickBot="1" x14ac:dyDescent="0.3">
      <c r="A3" s="117"/>
      <c r="B3" s="118"/>
      <c r="C3" s="122"/>
      <c r="D3" s="123"/>
      <c r="E3" s="124"/>
      <c r="F3" s="28" t="s">
        <v>83</v>
      </c>
      <c r="G3" s="28" t="s">
        <v>84</v>
      </c>
      <c r="H3" s="28" t="s">
        <v>85</v>
      </c>
      <c r="I3" s="28" t="s">
        <v>86</v>
      </c>
      <c r="J3" s="28" t="s">
        <v>87</v>
      </c>
      <c r="K3" s="28" t="s">
        <v>88</v>
      </c>
      <c r="L3" s="28" t="s">
        <v>89</v>
      </c>
      <c r="M3" s="28" t="s">
        <v>90</v>
      </c>
      <c r="N3" s="130"/>
    </row>
    <row r="4" spans="1:14" ht="15.75" thickBot="1" x14ac:dyDescent="0.3">
      <c r="A4" s="25"/>
      <c r="B4" s="26"/>
      <c r="C4" s="126" t="s">
        <v>91</v>
      </c>
      <c r="D4" s="127"/>
      <c r="E4" s="128"/>
      <c r="F4" s="15" t="e">
        <f>TBWP!#REF!</f>
        <v>#REF!</v>
      </c>
      <c r="G4" s="15" t="e">
        <f>TBWP!#REF!</f>
        <v>#REF!</v>
      </c>
      <c r="H4" s="15" t="e">
        <f>TBWP!#REF!</f>
        <v>#REF!</v>
      </c>
      <c r="I4" s="15" t="e">
        <f>TBWP!#REF!</f>
        <v>#REF!</v>
      </c>
      <c r="J4" s="15" t="e">
        <f>TBWP!#REF!</f>
        <v>#REF!</v>
      </c>
      <c r="K4" s="15" t="e">
        <f>TBWP!#REF!</f>
        <v>#REF!</v>
      </c>
      <c r="L4" s="15" t="e">
        <f>TBWP!#REF!</f>
        <v>#REF!</v>
      </c>
      <c r="M4" s="15" t="e">
        <f>TBWP!#REF!</f>
        <v>#REF!</v>
      </c>
      <c r="N4" s="17" t="e">
        <f>SUM(F4:M4)</f>
        <v>#REF!</v>
      </c>
    </row>
    <row r="5" spans="1:14" ht="15.75" thickBot="1" x14ac:dyDescent="0.3">
      <c r="A5" s="25"/>
      <c r="B5" s="26"/>
      <c r="C5" s="126" t="s">
        <v>92</v>
      </c>
      <c r="D5" s="127"/>
      <c r="E5" s="128"/>
      <c r="F5" s="15" t="e">
        <f>TBWP!#REF!</f>
        <v>#REF!</v>
      </c>
      <c r="G5" s="15" t="e">
        <f>TBWP!#REF!</f>
        <v>#REF!</v>
      </c>
      <c r="H5" s="15" t="e">
        <f>TBWP!#REF!</f>
        <v>#REF!</v>
      </c>
      <c r="I5" s="15" t="e">
        <f>TBWP!#REF!</f>
        <v>#REF!</v>
      </c>
      <c r="J5" s="15" t="e">
        <f>TBWP!#REF!</f>
        <v>#REF!</v>
      </c>
      <c r="K5" s="15" t="e">
        <f>TBWP!#REF!</f>
        <v>#REF!</v>
      </c>
      <c r="L5" s="15" t="e">
        <f>TBWP!#REF!</f>
        <v>#REF!</v>
      </c>
      <c r="M5" s="15" t="e">
        <f>TBWP!#REF!</f>
        <v>#REF!</v>
      </c>
      <c r="N5" s="17" t="e">
        <f t="shared" ref="N5:N6" si="0">SUM(F5:M5)</f>
        <v>#REF!</v>
      </c>
    </row>
    <row r="6" spans="1:14" ht="15.75" thickBot="1" x14ac:dyDescent="0.3">
      <c r="A6" s="25"/>
      <c r="B6" s="26"/>
      <c r="C6" s="126" t="s">
        <v>93</v>
      </c>
      <c r="D6" s="127"/>
      <c r="E6" s="128"/>
      <c r="F6" s="14"/>
      <c r="G6" s="14"/>
      <c r="H6" s="14"/>
      <c r="I6" s="14"/>
      <c r="J6" s="14"/>
      <c r="K6" s="14"/>
      <c r="L6" s="14"/>
      <c r="M6" s="14"/>
      <c r="N6" s="17">
        <f t="shared" si="0"/>
        <v>0</v>
      </c>
    </row>
    <row r="7" spans="1:14" ht="15.75" thickBot="1" x14ac:dyDescent="0.3">
      <c r="A7" s="25"/>
      <c r="B7" s="26"/>
      <c r="C7" s="126" t="s">
        <v>94</v>
      </c>
      <c r="D7" s="127"/>
      <c r="E7" s="128"/>
      <c r="F7" s="16" t="e">
        <f>SUM(F4:F6)</f>
        <v>#REF!</v>
      </c>
      <c r="G7" s="16" t="e">
        <f t="shared" ref="G7:N7" si="1">SUM(G4:G6)</f>
        <v>#REF!</v>
      </c>
      <c r="H7" s="16" t="e">
        <f t="shared" si="1"/>
        <v>#REF!</v>
      </c>
      <c r="I7" s="16" t="e">
        <f t="shared" si="1"/>
        <v>#REF!</v>
      </c>
      <c r="J7" s="16" t="e">
        <f t="shared" si="1"/>
        <v>#REF!</v>
      </c>
      <c r="K7" s="16" t="e">
        <f t="shared" si="1"/>
        <v>#REF!</v>
      </c>
      <c r="L7" s="16" t="e">
        <f t="shared" si="1"/>
        <v>#REF!</v>
      </c>
      <c r="M7" s="16" t="e">
        <f t="shared" si="1"/>
        <v>#REF!</v>
      </c>
      <c r="N7" s="17" t="e">
        <f t="shared" si="1"/>
        <v>#REF!</v>
      </c>
    </row>
    <row r="8" spans="1:14" x14ac:dyDescent="0.25">
      <c r="A8" s="7"/>
      <c r="B8" s="7"/>
      <c r="C8" s="7"/>
      <c r="D8" s="7"/>
      <c r="E8" s="7"/>
      <c r="F8" s="7"/>
      <c r="G8" s="7"/>
      <c r="H8" s="7"/>
      <c r="I8" s="7"/>
      <c r="J8" s="7"/>
      <c r="K8" s="7"/>
      <c r="L8" s="7"/>
      <c r="M8" s="7"/>
      <c r="N8" s="7"/>
    </row>
    <row r="9" spans="1:14" x14ac:dyDescent="0.25">
      <c r="A9" s="7"/>
      <c r="B9" s="7"/>
      <c r="C9" s="7"/>
      <c r="D9" s="7"/>
      <c r="E9" s="7"/>
      <c r="F9" s="7"/>
      <c r="G9" s="7"/>
      <c r="H9" s="7"/>
      <c r="I9" s="7"/>
      <c r="J9" s="7"/>
      <c r="K9" s="7"/>
      <c r="L9" s="7"/>
      <c r="M9" s="7"/>
      <c r="N9" s="7"/>
    </row>
    <row r="10" spans="1:14" ht="168" x14ac:dyDescent="0.25">
      <c r="A10" s="8" t="s">
        <v>95</v>
      </c>
      <c r="B10" s="7"/>
      <c r="C10" s="7"/>
      <c r="D10" s="7"/>
      <c r="E10" s="7"/>
      <c r="F10" s="7"/>
      <c r="G10" s="7"/>
      <c r="H10" s="7"/>
      <c r="I10" s="7"/>
      <c r="J10" s="7"/>
      <c r="K10" s="7"/>
      <c r="L10" s="7"/>
      <c r="M10" s="7"/>
      <c r="N10" s="7"/>
    </row>
    <row r="11" spans="1:14" x14ac:dyDescent="0.25">
      <c r="A11" s="13"/>
      <c r="B11" s="7"/>
      <c r="C11" s="7"/>
      <c r="D11" s="7"/>
      <c r="E11" s="7"/>
      <c r="F11" s="7"/>
      <c r="G11" s="7"/>
      <c r="H11" s="7"/>
      <c r="I11" s="7"/>
      <c r="J11" s="7"/>
      <c r="K11" s="7"/>
      <c r="L11" s="7"/>
      <c r="M11" s="7"/>
      <c r="N11" s="7"/>
    </row>
  </sheetData>
  <mergeCells count="11">
    <mergeCell ref="C7:E7"/>
    <mergeCell ref="C6:E6"/>
    <mergeCell ref="C5:E5"/>
    <mergeCell ref="N2:N3"/>
    <mergeCell ref="C4:E4"/>
    <mergeCell ref="J1:N1"/>
    <mergeCell ref="A2:A3"/>
    <mergeCell ref="B2:B3"/>
    <mergeCell ref="C2:E3"/>
    <mergeCell ref="B1:C1"/>
    <mergeCell ref="F1:G1"/>
  </mergeCells>
  <hyperlinks>
    <hyperlink ref="A1" location="_ftn1" display="_ftn1"/>
    <hyperlink ref="A10" location="_ftnref1" display="_ftnref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topLeftCell="A4" workbookViewId="0">
      <selection activeCell="E12" sqref="E12"/>
    </sheetView>
  </sheetViews>
  <sheetFormatPr baseColWidth="10" defaultColWidth="9.140625" defaultRowHeight="15" x14ac:dyDescent="0.25"/>
  <cols>
    <col min="1" max="1" width="28.140625" bestFit="1" customWidth="1"/>
    <col min="2" max="2" width="16.42578125" bestFit="1" customWidth="1"/>
    <col min="5" max="5" width="28.140625" bestFit="1" customWidth="1"/>
    <col min="6" max="6" width="11.7109375" bestFit="1" customWidth="1"/>
    <col min="9" max="9" width="28.140625" bestFit="1" customWidth="1"/>
  </cols>
  <sheetData>
    <row r="1" spans="1:10" x14ac:dyDescent="0.25">
      <c r="A1" t="s">
        <v>96</v>
      </c>
      <c r="E1" t="s">
        <v>97</v>
      </c>
      <c r="I1" t="s">
        <v>98</v>
      </c>
    </row>
    <row r="2" spans="1:10" x14ac:dyDescent="0.25">
      <c r="A2" s="4" t="s">
        <v>99</v>
      </c>
      <c r="B2" s="4" t="s">
        <v>100</v>
      </c>
      <c r="E2" s="4" t="s">
        <v>99</v>
      </c>
      <c r="F2" s="4" t="s">
        <v>100</v>
      </c>
      <c r="I2" s="4" t="s">
        <v>99</v>
      </c>
      <c r="J2" s="4" t="s">
        <v>100</v>
      </c>
    </row>
    <row r="3" spans="1:10" x14ac:dyDescent="0.25">
      <c r="A3" s="4"/>
      <c r="B3" s="4"/>
      <c r="E3" s="4"/>
    </row>
    <row r="4" spans="1:10" x14ac:dyDescent="0.25">
      <c r="A4" s="4" t="s">
        <v>59</v>
      </c>
      <c r="B4" s="4">
        <v>74200</v>
      </c>
      <c r="E4" s="4" t="s">
        <v>59</v>
      </c>
      <c r="F4" s="4">
        <v>74200</v>
      </c>
      <c r="I4" s="4" t="s">
        <v>59</v>
      </c>
      <c r="J4" s="4">
        <v>74200</v>
      </c>
    </row>
    <row r="5" spans="1:10" x14ac:dyDescent="0.25">
      <c r="A5" s="4" t="s">
        <v>101</v>
      </c>
      <c r="B5" s="4">
        <v>72400</v>
      </c>
      <c r="E5" s="4" t="s">
        <v>101</v>
      </c>
      <c r="F5" s="4">
        <v>72400</v>
      </c>
      <c r="I5" s="4" t="s">
        <v>101</v>
      </c>
      <c r="J5" s="4">
        <v>72400</v>
      </c>
    </row>
    <row r="6" spans="1:10" x14ac:dyDescent="0.25">
      <c r="A6" s="4" t="s">
        <v>45</v>
      </c>
      <c r="B6" s="4">
        <v>71400</v>
      </c>
      <c r="E6" s="4" t="s">
        <v>45</v>
      </c>
      <c r="F6" s="4">
        <v>71400</v>
      </c>
      <c r="I6" s="4" t="s">
        <v>45</v>
      </c>
      <c r="J6" s="4">
        <v>71400</v>
      </c>
    </row>
    <row r="7" spans="1:10" x14ac:dyDescent="0.25">
      <c r="A7" s="4" t="s">
        <v>42</v>
      </c>
      <c r="B7" s="4">
        <v>72100</v>
      </c>
      <c r="E7" s="4" t="s">
        <v>42</v>
      </c>
      <c r="F7" s="4">
        <v>72100</v>
      </c>
      <c r="I7" s="5" t="s">
        <v>42</v>
      </c>
      <c r="J7" s="5" t="s">
        <v>102</v>
      </c>
    </row>
    <row r="8" spans="1:10" x14ac:dyDescent="0.25">
      <c r="A8" s="4" t="s">
        <v>43</v>
      </c>
      <c r="B8" s="4">
        <v>72200</v>
      </c>
      <c r="E8" s="4" t="s">
        <v>43</v>
      </c>
      <c r="F8" s="4">
        <v>72200</v>
      </c>
      <c r="I8" s="4" t="s">
        <v>43</v>
      </c>
      <c r="J8" s="4">
        <v>72200</v>
      </c>
    </row>
    <row r="9" spans="1:10" x14ac:dyDescent="0.25">
      <c r="A9" s="4" t="s">
        <v>103</v>
      </c>
      <c r="B9" s="4">
        <v>72600</v>
      </c>
      <c r="E9" s="4" t="s">
        <v>51</v>
      </c>
      <c r="F9" s="4">
        <v>72800</v>
      </c>
      <c r="I9" s="4" t="s">
        <v>104</v>
      </c>
      <c r="J9" s="4">
        <v>75100</v>
      </c>
    </row>
    <row r="10" spans="1:10" x14ac:dyDescent="0.25">
      <c r="A10" s="4" t="s">
        <v>51</v>
      </c>
      <c r="B10" s="4">
        <v>72800</v>
      </c>
      <c r="E10" s="4" t="s">
        <v>21</v>
      </c>
      <c r="F10" s="4">
        <v>71200</v>
      </c>
      <c r="I10" s="4" t="s">
        <v>103</v>
      </c>
      <c r="J10" s="4">
        <v>72600</v>
      </c>
    </row>
    <row r="11" spans="1:10" x14ac:dyDescent="0.25">
      <c r="A11" s="4" t="s">
        <v>21</v>
      </c>
      <c r="B11" s="4">
        <v>71200</v>
      </c>
      <c r="E11" s="4" t="s">
        <v>25</v>
      </c>
      <c r="F11" s="4">
        <v>71300</v>
      </c>
      <c r="I11" s="4" t="s">
        <v>105</v>
      </c>
      <c r="J11" s="4">
        <v>72700</v>
      </c>
    </row>
    <row r="12" spans="1:10" x14ac:dyDescent="0.25">
      <c r="A12" s="4" t="s">
        <v>25</v>
      </c>
      <c r="B12" s="4">
        <v>71300</v>
      </c>
      <c r="E12" s="4" t="s">
        <v>50</v>
      </c>
      <c r="F12" s="4">
        <v>72300</v>
      </c>
      <c r="I12" s="4" t="s">
        <v>51</v>
      </c>
      <c r="J12" s="4">
        <v>72800</v>
      </c>
    </row>
    <row r="13" spans="1:10" x14ac:dyDescent="0.25">
      <c r="A13" s="4" t="s">
        <v>50</v>
      </c>
      <c r="B13" s="4">
        <v>72300</v>
      </c>
      <c r="E13" s="4" t="s">
        <v>47</v>
      </c>
      <c r="F13" s="4">
        <v>74500</v>
      </c>
      <c r="I13" s="4" t="s">
        <v>21</v>
      </c>
      <c r="J13" s="4">
        <v>71200</v>
      </c>
    </row>
    <row r="14" spans="1:10" x14ac:dyDescent="0.25">
      <c r="A14" s="4" t="s">
        <v>47</v>
      </c>
      <c r="B14" s="4">
        <v>74500</v>
      </c>
      <c r="E14" s="4" t="s">
        <v>57</v>
      </c>
      <c r="F14" s="4">
        <v>74100</v>
      </c>
      <c r="I14" s="4" t="s">
        <v>25</v>
      </c>
      <c r="J14" s="4">
        <v>71300</v>
      </c>
    </row>
    <row r="15" spans="1:10" x14ac:dyDescent="0.25">
      <c r="A15" s="4" t="s">
        <v>57</v>
      </c>
      <c r="B15" s="4">
        <v>74100</v>
      </c>
      <c r="E15" s="4" t="s">
        <v>106</v>
      </c>
      <c r="F15" s="4">
        <v>73300</v>
      </c>
      <c r="I15" s="4" t="s">
        <v>50</v>
      </c>
      <c r="J15" s="4">
        <v>72300</v>
      </c>
    </row>
    <row r="16" spans="1:10" x14ac:dyDescent="0.25">
      <c r="A16" s="4" t="s">
        <v>106</v>
      </c>
      <c r="B16" s="4">
        <v>73300</v>
      </c>
      <c r="E16" s="4" t="s">
        <v>107</v>
      </c>
      <c r="F16" s="4">
        <v>73400</v>
      </c>
      <c r="I16" s="4" t="s">
        <v>47</v>
      </c>
      <c r="J16" s="4">
        <v>74500</v>
      </c>
    </row>
    <row r="17" spans="1:10" x14ac:dyDescent="0.25">
      <c r="A17" s="4" t="s">
        <v>107</v>
      </c>
      <c r="B17" s="4">
        <v>73400</v>
      </c>
      <c r="E17" s="4" t="s">
        <v>46</v>
      </c>
      <c r="F17" s="4">
        <v>73100</v>
      </c>
      <c r="I17" s="4" t="s">
        <v>57</v>
      </c>
      <c r="J17" s="4">
        <v>74100</v>
      </c>
    </row>
    <row r="18" spans="1:10" x14ac:dyDescent="0.25">
      <c r="A18" s="4" t="s">
        <v>46</v>
      </c>
      <c r="B18" s="4">
        <v>73100</v>
      </c>
      <c r="E18" s="4" t="s">
        <v>65</v>
      </c>
      <c r="F18" s="4">
        <v>64397</v>
      </c>
      <c r="I18" s="4" t="s">
        <v>106</v>
      </c>
      <c r="J18" s="4">
        <v>73300</v>
      </c>
    </row>
    <row r="19" spans="1:10" x14ac:dyDescent="0.25">
      <c r="A19" s="4" t="s">
        <v>64</v>
      </c>
      <c r="B19" s="4">
        <v>72500</v>
      </c>
      <c r="E19" s="4" t="s">
        <v>66</v>
      </c>
      <c r="F19" s="4">
        <v>74596</v>
      </c>
      <c r="I19" s="4" t="s">
        <v>107</v>
      </c>
      <c r="J19" s="4">
        <v>73400</v>
      </c>
    </row>
    <row r="20" spans="1:10" x14ac:dyDescent="0.25">
      <c r="A20" s="4" t="s">
        <v>44</v>
      </c>
      <c r="B20" s="4">
        <v>75700</v>
      </c>
      <c r="E20" s="4" t="s">
        <v>64</v>
      </c>
      <c r="F20" s="4">
        <v>72500</v>
      </c>
      <c r="I20" s="4" t="s">
        <v>46</v>
      </c>
      <c r="J20" s="4">
        <v>73100</v>
      </c>
    </row>
    <row r="21" spans="1:10" x14ac:dyDescent="0.25">
      <c r="A21" s="4" t="s">
        <v>108</v>
      </c>
      <c r="B21" s="4">
        <v>74700</v>
      </c>
      <c r="E21" s="5" t="s">
        <v>44</v>
      </c>
      <c r="F21" s="5" t="s">
        <v>109</v>
      </c>
      <c r="I21" s="4" t="s">
        <v>110</v>
      </c>
      <c r="J21" s="4">
        <v>61200</v>
      </c>
    </row>
    <row r="22" spans="1:10" x14ac:dyDescent="0.25">
      <c r="A22" s="4" t="s">
        <v>35</v>
      </c>
      <c r="B22" s="4">
        <v>71600</v>
      </c>
      <c r="E22" s="4" t="s">
        <v>108</v>
      </c>
      <c r="F22" s="4">
        <v>74700</v>
      </c>
      <c r="I22" s="4" t="s">
        <v>111</v>
      </c>
      <c r="J22" s="4">
        <v>61300</v>
      </c>
    </row>
    <row r="23" spans="1:10" x14ac:dyDescent="0.25">
      <c r="A23" s="4" t="s">
        <v>112</v>
      </c>
      <c r="B23" s="4">
        <v>71500</v>
      </c>
      <c r="E23" s="4" t="s">
        <v>35</v>
      </c>
      <c r="F23" s="4">
        <v>71600</v>
      </c>
      <c r="I23" s="4" t="s">
        <v>113</v>
      </c>
      <c r="J23" s="4">
        <v>61100</v>
      </c>
    </row>
    <row r="24" spans="1:10" x14ac:dyDescent="0.25">
      <c r="E24" t="s">
        <v>112</v>
      </c>
      <c r="F24">
        <v>71500</v>
      </c>
      <c r="I24" s="4" t="s">
        <v>65</v>
      </c>
      <c r="J24" s="4">
        <v>64397</v>
      </c>
    </row>
    <row r="25" spans="1:10" x14ac:dyDescent="0.25">
      <c r="I25" s="4" t="s">
        <v>66</v>
      </c>
      <c r="J25" s="4">
        <v>74596</v>
      </c>
    </row>
    <row r="26" spans="1:10" x14ac:dyDescent="0.25">
      <c r="I26" s="4" t="s">
        <v>64</v>
      </c>
      <c r="J26" s="4">
        <v>72500</v>
      </c>
    </row>
    <row r="27" spans="1:10" x14ac:dyDescent="0.25">
      <c r="I27" s="5" t="s">
        <v>44</v>
      </c>
      <c r="J27" s="5" t="s">
        <v>109</v>
      </c>
    </row>
    <row r="28" spans="1:10" x14ac:dyDescent="0.25">
      <c r="I28" s="4" t="s">
        <v>108</v>
      </c>
      <c r="J28" s="4">
        <v>74700</v>
      </c>
    </row>
    <row r="29" spans="1:10" x14ac:dyDescent="0.25">
      <c r="I29" s="4" t="s">
        <v>35</v>
      </c>
      <c r="J29" s="4">
        <v>71600</v>
      </c>
    </row>
    <row r="30" spans="1:10" x14ac:dyDescent="0.25">
      <c r="I30" s="4" t="s">
        <v>112</v>
      </c>
      <c r="J30" s="4">
        <v>71500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f1161f5b-24a3-4c2d-bc81-44cb9325e8ee">ATLASPDC-4-65067</_dlc_DocId>
    <_dlc_DocIdUrl xmlns="f1161f5b-24a3-4c2d-bc81-44cb9325e8ee">
      <Url>https://info.undp.org/docs/pdc/_layouts/DocIdRedir.aspx?ID=ATLASPDC-4-65067</Url>
      <Description>ATLASPDC-4-65067</Description>
    </_dlc_DocIdUrl>
    <UNDPDocumentCategoryTaxHTField0 xmlns="1ed4137b-41b2-488b-8250-6d369ec27664">
      <Terms xmlns="http://schemas.microsoft.com/office/infopath/2007/PartnerControls"/>
    </UNDPDocumentCategoryTaxHTField0>
    <b6db62fdefd74bd188b0c1cc54de5bcf xmlns="1ed4137b-41b2-488b-8250-6d369ec27664">
      <Terms xmlns="http://schemas.microsoft.com/office/infopath/2007/PartnerControls"/>
    </b6db62fdefd74bd188b0c1cc54de5bcf>
    <UndpDocFormat xmlns="1ed4137b-41b2-488b-8250-6d369ec27664" xsi:nil="true"/>
    <UNDPPublishedDate xmlns="f1161f5b-24a3-4c2d-bc81-44cb9325e8ee">2017-06-14T14:00:00+00:00</UNDPPublishedDate>
    <UNDPCountryTaxHTField0 xmlns="1ed4137b-41b2-488b-8250-6d369ec27664">
      <Terms xmlns="http://schemas.microsoft.com/office/infopath/2007/PartnerControls">
        <TermInfo xmlns="http://schemas.microsoft.com/office/infopath/2007/PartnerControls">
          <TermName xmlns="http://schemas.microsoft.com/office/infopath/2007/PartnerControls">Countries</TermName>
          <TermId xmlns="http://schemas.microsoft.com/office/infopath/2007/PartnerControls">2f9ec5a1-3eec-45d6-8645-ed5d87180aba</TermId>
        </TermInfo>
      </Terms>
    </UNDPCountryTaxHTField0>
    <UndpOUCode xmlns="1ed4137b-41b2-488b-8250-6d369ec27664">BEN</UndpOUCode>
    <PDC_x0020_Document_x0020_Category xmlns="f1161f5b-24a3-4c2d-bc81-44cb9325e8ee">Proposal</PDC_x0020_Document_x0020_Category>
    <UNDPSummary xmlns="f1161f5b-24a3-4c2d-bc81-44cb9325e8ee" xsi:nil="true"/>
    <UndpDocTypeMMTaxHTField0 xmlns="1ed4137b-41b2-488b-8250-6d369ec27664">
      <Terms xmlns="http://schemas.microsoft.com/office/infopath/2007/PartnerControls"/>
    </UndpDocTypeMMTaxHTField0>
    <UNDPFocusAreasTaxHTField0 xmlns="1ed4137b-41b2-488b-8250-6d369ec27664">
      <Terms xmlns="http://schemas.microsoft.com/office/infopath/2007/PartnerControls">
        <TermInfo xmlns="http://schemas.microsoft.com/office/infopath/2007/PartnerControls">
          <TermName xmlns="http://schemas.microsoft.com/office/infopath/2007/PartnerControls">Environment and Energy</TermName>
          <TermId xmlns="http://schemas.microsoft.com/office/infopath/2007/PartnerControls">507850c5-118d-4c78-99b1-c760df552b10</TermId>
        </TermInfo>
      </Terms>
    </UNDPFocusAreasTaxHTField0>
    <idff2b682fce4d0680503cd9036a3260 xmlns="f1161f5b-24a3-4c2d-bc81-44cb9325e8ee">
      <Terms xmlns="http://schemas.microsoft.com/office/infopath/2007/PartnerControls">
        <TermInfo xmlns="http://schemas.microsoft.com/office/infopath/2007/PartnerControls">
          <TermName xmlns="http://schemas.microsoft.com/office/infopath/2007/PartnerControls">Budget</TermName>
          <TermId xmlns="http://schemas.microsoft.com/office/infopath/2007/PartnerControls">1c1fa43a-cb36-4844-8715-9a4cc93e1ac9</TermId>
        </TermInfo>
      </Terms>
    </idff2b682fce4d0680503cd9036a3260>
    <o4086b1782a74105bb5269035bccc8e9 xmlns="f1161f5b-24a3-4c2d-bc81-44cb9325e8ee">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121d40a5-e62e-4d42-82e4-d6d12003de0a</TermId>
        </TermInfo>
      </Terms>
    </o4086b1782a74105bb5269035bccc8e9>
    <_Publisher xmlns="http://schemas.microsoft.com/sharepoint/v3/fields" xsi:nil="true"/>
    <UNDPPOPPFunctionalArea xmlns="f1161f5b-24a3-4c2d-bc81-44cb9325e8ee">Programme and Project</UNDPPOPPFunctionalArea>
    <Project_x0020_Number xmlns="f1161f5b-24a3-4c2d-bc81-44cb9325e8ee" xsi:nil="true"/>
    <Project_x0020_Manager xmlns="f1161f5b-24a3-4c2d-bc81-44cb9325e8ee" xsi:nil="true"/>
    <TaxCatchAll xmlns="1ed4137b-41b2-488b-8250-6d369ec27664">
      <Value>763</Value>
      <Value>1114</Value>
      <Value>296</Value>
      <Value>1212</Value>
      <Value>1109</Value>
      <Value>1</Value>
    </TaxCatchAll>
    <c4e2ab2cc9354bbf9064eeb465a566ea xmlns="1ed4137b-41b2-488b-8250-6d369ec27664">
      <Terms xmlns="http://schemas.microsoft.com/office/infopath/2007/PartnerControls"/>
    </c4e2ab2cc9354bbf9064eeb465a566ea>
    <UndpProjectNo xmlns="1ed4137b-41b2-488b-8250-6d369ec27664">00104207</UndpProjectNo>
    <UndpDocStatus xmlns="1ed4137b-41b2-488b-8250-6d369ec27664">Draft</UndpDocStatus>
    <Outcome1 xmlns="f1161f5b-24a3-4c2d-bc81-44cb9325e8ee">00105894</Outcome1>
    <UndpClassificationLevel xmlns="1ed4137b-41b2-488b-8250-6d369ec27664">Public</UndpClassificationLevel>
    <UndpIsTemplate xmlns="1ed4137b-41b2-488b-8250-6d369ec27664">No</UndpIsTemplate>
    <UndpDocID xmlns="1ed4137b-41b2-488b-8250-6d369ec27664" xsi:nil="true"/>
    <UN_x0020_LanguagesTaxHTField0 xmlns="1ed4137b-41b2-488b-8250-6d369ec27664">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7f98b732-4b5b-4b70-ba90-a0eff09b5d2d</TermId>
        </TermInfo>
      </Terms>
    </UN_x0020_LanguagesTaxHTField0>
    <gc6531b704974d528487414686b72f6f xmlns="f1161f5b-24a3-4c2d-bc81-44cb9325e8ee">
      <Terms xmlns="http://schemas.microsoft.com/office/infopath/2007/PartnerControls">
        <TermInfo xmlns="http://schemas.microsoft.com/office/infopath/2007/PartnerControls">
          <TermName xmlns="http://schemas.microsoft.com/office/infopath/2007/PartnerControls">BEN</TermName>
          <TermId xmlns="http://schemas.microsoft.com/office/infopath/2007/PartnerControls">da271886-2650-4055-a85b-d60b902df11d</TermId>
        </TermInfo>
      </Terms>
    </gc6531b704974d528487414686b72f6f>
    <Document_x0020_Coverage_x0020_Period_x0020_Start_x0020_Date xmlns="f1161f5b-24a3-4c2d-bc81-44cb9325e8ee" xsi:nil="true"/>
    <Document_x0020_Coverage_x0020_Period_x0020_End_x0020_Date xmlns="f1161f5b-24a3-4c2d-bc81-44cb9325e8ee" xsi:nil="true"/>
    <LikesCount xmlns="http://schemas.microsoft.com/sharepoint/v3" xsi:nil="true"/>
    <Ratings xmlns="http://schemas.microsoft.com/sharepoint/v3" xsi:nil="true"/>
    <LikedBy xmlns="http://schemas.microsoft.com/sharepoint/v3">
      <UserInfo>
        <DisplayName/>
        <AccountId xsi:nil="true"/>
        <AccountType/>
      </UserInfo>
    </LikedBy>
    <RatedBy xmlns="http://schemas.microsoft.com/sharepoint/v3">
      <UserInfo>
        <DisplayName/>
        <AccountId xsi:nil="true"/>
        <AccountType/>
      </UserInfo>
    </RatedBy>
  </documentManagement>
</p:properties>
</file>

<file path=customXml/item2.xml><?xml version="1.0" encoding="utf-8"?>
<?mso-contentType ?>
<SharedContentType xmlns="Microsoft.SharePoint.Taxonomy.ContentTypeSync" SourceId="28e6c43a-9e99-4bdd-9574-a0fa4ea3b61e" ContentTypeId="0x010100F075C04BA242A84ABD3293E3AD35CDA4" PreviousValue="false"/>
</file>

<file path=customXml/item3.xml><?xml version="1.0" encoding="utf-8"?>
<ct:contentTypeSchema xmlns:ct="http://schemas.microsoft.com/office/2006/metadata/contentType" xmlns:ma="http://schemas.microsoft.com/office/2006/metadata/properties/metaAttributes" ct:_="" ma:_="" ma:contentTypeName="UNDP Programme Document" ma:contentTypeID="0x010100F075C04BA242A84ABD3293E3AD35CDA400AB50428DC784B44FAACCAA5FAE40C0590045B5E632B552204ABF0E616DD66BDA0F" ma:contentTypeVersion="73" ma:contentTypeDescription="" ma:contentTypeScope="" ma:versionID="9de00a5f5954494ae107930a66ca92e2">
  <xsd:schema xmlns:xsd="http://www.w3.org/2001/XMLSchema" xmlns:xs="http://www.w3.org/2001/XMLSchema" xmlns:p="http://schemas.microsoft.com/office/2006/metadata/properties" xmlns:ns1="http://schemas.microsoft.com/sharepoint/v3" xmlns:ns2="http://schemas.microsoft.com/sharepoint/v3/fields" xmlns:ns3="1ed4137b-41b2-488b-8250-6d369ec27664" xmlns:ns4="f1161f5b-24a3-4c2d-bc81-44cb9325e8ee" targetNamespace="http://schemas.microsoft.com/office/2006/metadata/properties" ma:root="true" ma:fieldsID="074a45cdc06b655c19533db1d6232777" ns1:_="" ns2:_="" ns3:_="" ns4:_="">
    <xsd:import namespace="http://schemas.microsoft.com/sharepoint/v3"/>
    <xsd:import namespace="http://schemas.microsoft.com/sharepoint/v3/fields"/>
    <xsd:import namespace="1ed4137b-41b2-488b-8250-6d369ec27664"/>
    <xsd:import namespace="f1161f5b-24a3-4c2d-bc81-44cb9325e8ee"/>
    <xsd:element name="properties">
      <xsd:complexType>
        <xsd:sequence>
          <xsd:element name="documentManagement">
            <xsd:complexType>
              <xsd:all>
                <xsd:element ref="ns3:UndpClassificationLevel" minOccurs="0"/>
                <xsd:element ref="ns4:UNDPPOPPFunctionalArea" minOccurs="0"/>
                <xsd:element ref="ns3:UndpProjectNo" minOccurs="0"/>
                <xsd:element ref="ns4:Outcome1" minOccurs="0"/>
                <xsd:element ref="ns3:UndpDocStatus" minOccurs="0"/>
                <xsd:element ref="ns3:UndpOUCode" minOccurs="0"/>
                <xsd:element ref="ns3:UndpDocFormat" minOccurs="0"/>
                <xsd:element ref="ns3:UndpDocID" minOccurs="0"/>
                <xsd:element ref="ns4:PDC_x0020_Document_x0020_Category" minOccurs="0"/>
                <xsd:element ref="ns4:UNDPPublishedDate" minOccurs="0"/>
                <xsd:element ref="ns4:UNDPSummary" minOccurs="0"/>
                <xsd:element ref="ns3:TaxCatchAll" minOccurs="0"/>
                <xsd:element ref="ns3:TaxCatchAllLabel" minOccurs="0"/>
                <xsd:element ref="ns3:UndpDocTypeMMTaxHTField0" minOccurs="0"/>
                <xsd:element ref="ns3:UNDPCountryTaxHTField0" minOccurs="0"/>
                <xsd:element ref="ns3:UNDPDocumentCategoryTaxHTField0" minOccurs="0"/>
                <xsd:element ref="ns3:b6db62fdefd74bd188b0c1cc54de5bcf" minOccurs="0"/>
                <xsd:element ref="ns3:UN_x0020_LanguagesTaxHTField0" minOccurs="0"/>
                <xsd:element ref="ns3:c4e2ab2cc9354bbf9064eeb465a566ea" minOccurs="0"/>
                <xsd:element ref="ns3:UNDPFocusAreasTaxHTField0" minOccurs="0"/>
                <xsd:element ref="ns4:o4086b1782a74105bb5269035bccc8e9" minOccurs="0"/>
                <xsd:element ref="ns4:Project_x0020_Number" minOccurs="0"/>
                <xsd:element ref="ns4:idff2b682fce4d0680503cd9036a3260" minOccurs="0"/>
                <xsd:element ref="ns3:UndpIsTemplate" minOccurs="0"/>
                <xsd:element ref="ns4:gc6531b704974d528487414686b72f6f" minOccurs="0"/>
                <xsd:element ref="ns4:Project_x0020_Manager" minOccurs="0"/>
                <xsd:element ref="ns2:_Publisher" minOccurs="0"/>
                <xsd:element ref="ns4:_dlc_DocId" minOccurs="0"/>
                <xsd:element ref="ns4:_dlc_DocIdUrl" minOccurs="0"/>
                <xsd:element ref="ns4:_dlc_DocIdPersistId" minOccurs="0"/>
                <xsd:element ref="ns4:Document_x0020_Coverage_x0020_Period_x0020_Start_x0020_Date" minOccurs="0"/>
                <xsd:element ref="ns4:Document_x0020_Coverage_x0020_Period_x0020_End_x0020_Date" minOccurs="0"/>
                <xsd:element ref="ns1:RatedBy" minOccurs="0"/>
                <xsd:element ref="ns1:Ratings" minOccurs="0"/>
                <xsd:element ref="ns1:LikesCount" minOccurs="0"/>
                <xsd:element ref="ns1:LikedB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atedBy" ma:index="52"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53" nillable="true" ma:displayName="User ratings" ma:description="User ratings for the item" ma:hidden="true" ma:internalName="Ratings">
      <xsd:simpleType>
        <xsd:restriction base="dms:Note"/>
      </xsd:simpleType>
    </xsd:element>
    <xsd:element name="LikesCount" ma:index="54" nillable="true" ma:displayName="Number of Likes" ma:internalName="LikesCount">
      <xsd:simpleType>
        <xsd:restriction base="dms:Unknown"/>
      </xsd:simpleType>
    </xsd:element>
    <xsd:element name="LikedBy" ma:index="55"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Publisher" ma:index="46" nillable="true" ma:displayName="Publisher" ma:description="The person who published the document" ma:hidden="true" ma:internalName="_Publish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d4137b-41b2-488b-8250-6d369ec27664" elementFormDefault="qualified">
    <xsd:import namespace="http://schemas.microsoft.com/office/2006/documentManagement/types"/>
    <xsd:import namespace="http://schemas.microsoft.com/office/infopath/2007/PartnerControls"/>
    <xsd:element name="UndpClassificationLevel" ma:index="4" nillable="true" ma:displayName="Classification Level" ma:default="Internal Use Only" ma:description="re: UNDP Information Classification &amp; Handling Standard" ma:format="Dropdown" ma:internalName="UndpClassificationLevel">
      <xsd:simpleType>
        <xsd:restriction base="dms:Choice">
          <xsd:enumeration value="Internal Use Only"/>
          <xsd:enumeration value="Confidential"/>
          <xsd:enumeration value="Highly Confidential"/>
          <xsd:enumeration value="Public"/>
        </xsd:restriction>
      </xsd:simpleType>
    </xsd:element>
    <xsd:element name="UndpProjectNo" ma:index="8" nillable="true" ma:displayName="Project No" ma:description="If applicable, the Atlas Project Number that this document relates to." ma:internalName="UndpProjectNo" ma:readOnly="false">
      <xsd:simpleType>
        <xsd:restriction base="dms:Text">
          <xsd:maxLength value="12"/>
        </xsd:restriction>
      </xsd:simpleType>
    </xsd:element>
    <xsd:element name="UndpDocStatus" ma:index="10" nillable="true" ma:displayName="Document Status" ma:default="Draft" ma:description="The status of the document" ma:format="Dropdown" ma:internalName="UndpDocStatus">
      <xsd:simpleType>
        <xsd:restriction base="dms:Choice">
          <xsd:enumeration value="Draft"/>
          <xsd:enumeration value="Reviewed"/>
          <xsd:enumeration value="Approved"/>
          <xsd:enumeration value="Not Approved"/>
          <xsd:enumeration value="Final"/>
          <xsd:enumeration value="Expired"/>
        </xsd:restriction>
      </xsd:simpleType>
    </xsd:element>
    <xsd:element name="UndpOUCode" ma:index="11" nillable="true" ma:displayName="Unit Code" ma:description="The Atlas Unit Code of the authoring Unit" ma:format="Dropdown" ma:internalName="UndpOUCode">
      <xsd:simpleType>
        <xsd:restriction base="dms:Choice">
          <xsd:enumeration value="ABW"/>
          <xsd:enumeration value="AFG"/>
          <xsd:enumeration value="AGO"/>
          <xsd:enumeration value="AIA"/>
          <xsd:enumeration value="ALB"/>
          <xsd:enumeration value="ANT"/>
          <xsd:enumeration value="ARE"/>
          <xsd:enumeration value="ARG"/>
          <xsd:enumeration value="ARM"/>
          <xsd:enumeration value="ATG"/>
          <xsd:enumeration value="AZE"/>
          <xsd:enumeration value="BDI"/>
          <xsd:enumeration value="BEN"/>
          <xsd:enumeration value="BFA"/>
          <xsd:enumeration value="BGD"/>
          <xsd:enumeration value="BGR"/>
          <xsd:enumeration value="BHR"/>
          <xsd:enumeration value="BHS"/>
          <xsd:enumeration value="BIH"/>
          <xsd:enumeration value="BLR"/>
          <xsd:enumeration value="BLZ"/>
          <xsd:enumeration value="BMU"/>
          <xsd:enumeration value="BOL"/>
          <xsd:enumeration value="BRA"/>
          <xsd:enumeration value="BRB"/>
          <xsd:enumeration value="BRC"/>
          <xsd:enumeration value="BTN"/>
          <xsd:enumeration value="BWA"/>
          <xsd:enumeration value="CAF"/>
          <xsd:enumeration value="CHL"/>
          <xsd:enumeration value="CHN"/>
          <xsd:enumeration value="CIV"/>
          <xsd:enumeration value="CMR"/>
          <xsd:enumeration value="COD"/>
          <xsd:enumeration value="COG"/>
          <xsd:enumeration value="COK"/>
          <xsd:enumeration value="COL"/>
          <xsd:enumeration value="COM"/>
          <xsd:enumeration value="CPV"/>
          <xsd:enumeration value="CRC"/>
          <xsd:enumeration value="CRI"/>
          <xsd:enumeration value="CUB"/>
          <xsd:enumeration value="CUR"/>
          <xsd:enumeration value="CYM"/>
          <xsd:enumeration value="CYP"/>
          <xsd:enumeration value="DJI"/>
          <xsd:enumeration value="DMA"/>
          <xsd:enumeration value="DOM"/>
          <xsd:enumeration value="DZA"/>
          <xsd:enumeration value="ECU"/>
          <xsd:enumeration value="EGY"/>
          <xsd:enumeration value="ERI"/>
          <xsd:enumeration value="ETH"/>
          <xsd:enumeration value="FJI"/>
          <xsd:enumeration value="FSM"/>
          <xsd:enumeration value="GAB"/>
          <xsd:enumeration value="GEO"/>
          <xsd:enumeration value="GHA"/>
          <xsd:enumeration value="GIN"/>
          <xsd:enumeration value="GMB"/>
          <xsd:enumeration value="GNB"/>
          <xsd:enumeration value="GNQ"/>
          <xsd:enumeration value="GRD"/>
          <xsd:enumeration value="GTM"/>
          <xsd:enumeration value="GUY"/>
          <xsd:enumeration value="HND"/>
          <xsd:enumeration value="HRV"/>
          <xsd:enumeration value="HTI"/>
          <xsd:enumeration value="IDN"/>
          <xsd:enumeration value="IND"/>
          <xsd:enumeration value="IRN"/>
          <xsd:enumeration value="IRQ"/>
          <xsd:enumeration value="JAM"/>
          <xsd:enumeration value="JOR"/>
          <xsd:enumeration value="KAZ"/>
          <xsd:enumeration value="KEN"/>
          <xsd:enumeration value="KGZ"/>
          <xsd:enumeration value="KHM"/>
          <xsd:enumeration value="KIR"/>
          <xsd:enumeration value="KNA"/>
          <xsd:enumeration value="KOR"/>
          <xsd:enumeration value="KOS"/>
          <xsd:enumeration value="KWT"/>
          <xsd:enumeration value="LAO"/>
          <xsd:enumeration value="LBN"/>
          <xsd:enumeration value="LBR"/>
          <xsd:enumeration value="LBY"/>
          <xsd:enumeration value="LCA"/>
          <xsd:enumeration value="LKA"/>
          <xsd:enumeration value="LSO"/>
          <xsd:enumeration value="LTU"/>
          <xsd:enumeration value="LVA"/>
          <xsd:enumeration value="MAR"/>
          <xsd:enumeration value="MDA"/>
          <xsd:enumeration value="MDG"/>
          <xsd:enumeration value="MDV"/>
          <xsd:enumeration value="MEX"/>
          <xsd:enumeration value="MHL"/>
          <xsd:enumeration value="MKD"/>
          <xsd:enumeration value="MLI"/>
          <xsd:enumeration value="MMR"/>
          <xsd:enumeration value="MNE"/>
          <xsd:enumeration value="MNG"/>
          <xsd:enumeration value="MOZ"/>
          <xsd:enumeration value="MRT"/>
          <xsd:enumeration value="MSR"/>
          <xsd:enumeration value="MUS"/>
          <xsd:enumeration value="MWI"/>
          <xsd:enumeration value="MYS"/>
          <xsd:enumeration value="NAM"/>
          <xsd:enumeration value="NER"/>
          <xsd:enumeration value="NGA"/>
          <xsd:enumeration value="NIC"/>
          <xsd:enumeration value="NIU"/>
          <xsd:enumeration value="NPL"/>
          <xsd:enumeration value="NRU"/>
          <xsd:enumeration value="PAK"/>
          <xsd:enumeration value="PAL"/>
          <xsd:enumeration value="PAN"/>
          <xsd:enumeration value="PER"/>
          <xsd:enumeration value="PHL"/>
          <xsd:enumeration value="PLW"/>
          <xsd:enumeration value="PNG"/>
          <xsd:enumeration value="POL"/>
          <xsd:enumeration value="PRK"/>
          <xsd:enumeration value="PRY"/>
          <xsd:enumeration value="PSC"/>
          <xsd:enumeration value="QAT"/>
          <xsd:enumeration value="R11"/>
          <xsd:enumeration value="R12"/>
          <xsd:enumeration value="R44"/>
          <xsd:enumeration value="R45"/>
          <xsd:enumeration value="R46"/>
          <xsd:enumeration value="R47"/>
          <xsd:enumeration value="RJB"/>
          <xsd:enumeration value="ROU"/>
          <xsd:enumeration value="RUS"/>
          <xsd:enumeration value="RWA"/>
          <xsd:enumeration value="SAU"/>
          <xsd:enumeration value="SDN"/>
          <xsd:enumeration value="SEN"/>
          <xsd:enumeration value="SLB"/>
          <xsd:enumeration value="SLE"/>
          <xsd:enumeration value="SLV"/>
          <xsd:enumeration value="SOM"/>
          <xsd:enumeration value="SRB"/>
          <xsd:enumeration value="SSD"/>
          <xsd:enumeration value="STP"/>
          <xsd:enumeration value="SUR"/>
          <xsd:enumeration value="SVK"/>
          <xsd:enumeration value="SWZ"/>
          <xsd:enumeration value="SYC"/>
          <xsd:enumeration value="SYR"/>
          <xsd:enumeration value="TCA"/>
          <xsd:enumeration value="TCD"/>
          <xsd:enumeration value="TGO"/>
          <xsd:enumeration value="THA"/>
          <xsd:enumeration value="TJK"/>
          <xsd:enumeration value="TKL"/>
          <xsd:enumeration value="TKM"/>
          <xsd:enumeration value="TLS"/>
          <xsd:enumeration value="TON"/>
          <xsd:enumeration value="TTO"/>
          <xsd:enumeration value="TUN"/>
          <xsd:enumeration value="TUR"/>
          <xsd:enumeration value="TUV"/>
          <xsd:enumeration value="TZA"/>
          <xsd:enumeration value="UGA"/>
          <xsd:enumeration value="UKR"/>
          <xsd:enumeration value="UNV"/>
          <xsd:enumeration value="URY"/>
          <xsd:enumeration value="UZB"/>
          <xsd:enumeration value="VCT"/>
          <xsd:enumeration value="VEN"/>
          <xsd:enumeration value="VGB"/>
          <xsd:enumeration value="VNM"/>
          <xsd:enumeration value="VUT"/>
          <xsd:enumeration value="WSM"/>
          <xsd:enumeration value="YEM"/>
          <xsd:enumeration value="ZAF"/>
          <xsd:enumeration value="ZMB"/>
          <xsd:enumeration value="ZWE"/>
          <xsd:enumeration value="H01"/>
          <xsd:enumeration value="H02"/>
          <xsd:enumeration value="H03"/>
          <xsd:enumeration value="H04"/>
          <xsd:enumeration value="H05"/>
          <xsd:enumeration value="H10"/>
          <xsd:enumeration value="H11"/>
          <xsd:enumeration value="H13"/>
          <xsd:enumeration value="H13"/>
          <xsd:enumeration value="H14"/>
          <xsd:enumeration value="H15"/>
          <xsd:enumeration value="H17"/>
          <xsd:enumeration value="H18"/>
          <xsd:enumeration value="H19"/>
          <xsd:enumeration value="H20"/>
          <xsd:enumeration value="H21"/>
          <xsd:enumeration value="H22"/>
          <xsd:enumeration value="H23"/>
          <xsd:enumeration value="H24"/>
          <xsd:enumeration value="H25"/>
          <xsd:enumeration value="H26"/>
          <xsd:enumeration value="H27"/>
          <xsd:enumeration value="H28"/>
          <xsd:enumeration value="H30"/>
          <xsd:enumeration value="H31"/>
          <xsd:enumeration value="H35"/>
          <xsd:enumeration value="H42"/>
          <xsd:enumeration value="H43"/>
          <xsd:enumeration value="H45"/>
          <xsd:enumeration value="H46"/>
          <xsd:enumeration value="H48"/>
          <xsd:enumeration value="H49"/>
          <xsd:enumeration value="H51"/>
          <xsd:enumeration value="H54"/>
          <xsd:enumeration value="H56"/>
          <xsd:enumeration value="H57"/>
          <xsd:enumeration value="H58"/>
          <xsd:enumeration value="H59"/>
          <xsd:enumeration value="H61"/>
          <xsd:enumeration value="H62"/>
          <xsd:enumeration value="H70"/>
          <xsd:enumeration value="H71"/>
        </xsd:restriction>
      </xsd:simpleType>
    </xsd:element>
    <xsd:element name="UndpDocFormat" ma:index="12" nillable="true" ma:displayName="Document Medium" ma:description="The medium/format from which this document originated (i.e. Fax, Paper, eDocument etc.)" ma:format="Dropdown" ma:internalName="UndpDocFormat">
      <xsd:simpleType>
        <xsd:restriction base="dms:Choice">
          <xsd:enumeration value="E-Document"/>
          <xsd:enumeration value="Letter/Paper"/>
          <xsd:enumeration value="E-Mail"/>
          <xsd:enumeration value="Fax/Telecopy"/>
          <xsd:enumeration value="Audio"/>
          <xsd:enumeration value="Database"/>
          <xsd:enumeration value="Image/Picture"/>
          <xsd:enumeration value="Instant Message"/>
          <xsd:enumeration value="Social Media"/>
        </xsd:restriction>
      </xsd:simpleType>
    </xsd:element>
    <xsd:element name="UndpDocID" ma:index="14" nillable="true" ma:displayName="Doc ID" ma:description="The Unique ID number for this document. Reserve for System Use." ma:internalName="UndpDocID">
      <xsd:simpleType>
        <xsd:restriction base="dms:Text">
          <xsd:maxLength value="35"/>
        </xsd:restriction>
      </xsd:simpleType>
    </xsd:element>
    <xsd:element name="TaxCatchAll" ma:index="23" nillable="true" ma:displayName="Taxonomy Catch All Column" ma:hidden="true" ma:list="{ebf97bad-dcbe-4f0d-9a23-b800605d6ac9}" ma:internalName="TaxCatchAll" ma:showField="CatchAllData"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hidden="true" ma:list="{ebf97bad-dcbe-4f0d-9a23-b800605d6ac9}" ma:internalName="TaxCatchAllLabel" ma:readOnly="true" ma:showField="CatchAllDataLabel"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UndpDocTypeMMTaxHTField0" ma:index="25" nillable="true" ma:taxonomy="true" ma:internalName="UndpDocTypeMMTaxHTField0" ma:taxonomyFieldName="UndpDocTypeMM" ma:displayName="Document Type" ma:default="" ma:fieldId="{ef94467a-fb76-4b42-91a0-5b5bdb6c8d34}" ma:sspId="28e6c43a-9e99-4bdd-9574-a0fa4ea3b61e" ma:termSetId="9ee71e91-19a9-476b-852f-3c2a633960f8" ma:anchorId="00000000-0000-0000-0000-000000000000" ma:open="false" ma:isKeyword="false">
      <xsd:complexType>
        <xsd:sequence>
          <xsd:element ref="pc:Terms" minOccurs="0" maxOccurs="1"/>
        </xsd:sequence>
      </xsd:complexType>
    </xsd:element>
    <xsd:element name="UNDPCountryTaxHTField0" ma:index="27" nillable="true" ma:taxonomy="true" ma:internalName="UNDPCountryTaxHTField0" ma:taxonomyFieldName="UNDPCountry" ma:displayName="Applies To Unit/Office/Country" ma:default="" ma:fieldId="{81e4cc14-7d66-47aa-92fc-e5e3ceab8cf9}" ma:taxonomyMulti="true" ma:sspId="28e6c43a-9e99-4bdd-9574-a0fa4ea3b61e" ma:termSetId="442a42f2-fc2a-49a0-9036-6cd97a005fbd" ma:anchorId="00000000-0000-0000-0000-000000000000" ma:open="false" ma:isKeyword="false">
      <xsd:complexType>
        <xsd:sequence>
          <xsd:element ref="pc:Terms" minOccurs="0" maxOccurs="1"/>
        </xsd:sequence>
      </xsd:complexType>
    </xsd:element>
    <xsd:element name="UNDPDocumentCategoryTaxHTField0" ma:index="30" nillable="true" ma:taxonomy="true" ma:internalName="UNDPDocumentCategoryTaxHTField0" ma:taxonomyFieldName="UNDPDocumentCategory" ma:displayName="Document Category" ma:readOnly="false" ma:default="" ma:fieldId="{30683383-b7b1-438d-8f61-9bf6b516a9e8}" ma:sspId="28e6c43a-9e99-4bdd-9574-a0fa4ea3b61e" ma:termSetId="353ae5a2-1c9c-42f6-bb56-cf3ba72fb601" ma:anchorId="00000000-0000-0000-0000-000000000000" ma:open="false" ma:isKeyword="false">
      <xsd:complexType>
        <xsd:sequence>
          <xsd:element ref="pc:Terms" minOccurs="0" maxOccurs="1"/>
        </xsd:sequence>
      </xsd:complexType>
    </xsd:element>
    <xsd:element name="b6db62fdefd74bd188b0c1cc54de5bcf" ma:index="32" nillable="true" ma:taxonomy="true" ma:internalName="b6db62fdefd74bd188b0c1cc54de5bcf" ma:taxonomyFieldName="UndpUnitMM" ma:displayName="Responsible Unit/Office" ma:readOnly="false" ma:default="" ma:fieldId="{b6db62fd-efd7-4bd1-88b0-c1cc54de5bcf}" ma:taxonomyMulti="true" ma:sspId="28e6c43a-9e99-4bdd-9574-a0fa4ea3b61e" ma:termSetId="41041907-3ad1-4549-b766-200fd229bd1c" ma:anchorId="00000000-0000-0000-0000-000000000000" ma:open="false" ma:isKeyword="false">
      <xsd:complexType>
        <xsd:sequence>
          <xsd:element ref="pc:Terms" minOccurs="0" maxOccurs="1"/>
        </xsd:sequence>
      </xsd:complexType>
    </xsd:element>
    <xsd:element name="UN_x0020_LanguagesTaxHTField0" ma:index="33" nillable="true" ma:taxonomy="true" ma:internalName="UN_x0020_LanguagesTaxHTField0" ma:taxonomyFieldName="UN_x0020_Languages" ma:displayName="UN Languages" ma:readOnly="false" ma:default="1;#English|7f98b732-4b5b-4b70-ba90-a0eff09b5d2d" ma:fieldId="{41a2b052-e54a-4bfe-83da-6da45935c81e}" ma:sspId="28e6c43a-9e99-4bdd-9574-a0fa4ea3b61e" ma:termSetId="b4046108-c9b1-4d97-ad16-d3846fb24317" ma:anchorId="45d05d46-9bc9-40df-8618-9658690cf41e" ma:open="false" ma:isKeyword="false">
      <xsd:complexType>
        <xsd:sequence>
          <xsd:element ref="pc:Terms" minOccurs="0" maxOccurs="1"/>
        </xsd:sequence>
      </xsd:complexType>
    </xsd:element>
    <xsd:element name="c4e2ab2cc9354bbf9064eeb465a566ea" ma:index="34" nillable="true" ma:taxonomy="true" ma:internalName="c4e2ab2cc9354bbf9064eeb465a566ea" ma:taxonomyFieldName="eRegFilingCodeMM" ma:displayName="eFiling Code" ma:readOnly="false" ma:default="" ma:fieldId="{c4e2ab2c-c935-4bbf-9064-eeb465a566ea}" ma:sspId="28e6c43a-9e99-4bdd-9574-a0fa4ea3b61e" ma:termSetId="3f69c20a-3173-4973-84b2-95ebea5be078" ma:anchorId="f37a81ce-dd31-4fa3-b388-af2156d559de" ma:open="false" ma:isKeyword="false">
      <xsd:complexType>
        <xsd:sequence>
          <xsd:element ref="pc:Terms" minOccurs="0" maxOccurs="1"/>
        </xsd:sequence>
      </xsd:complexType>
    </xsd:element>
    <xsd:element name="UNDPFocusAreasTaxHTField0" ma:index="35" nillable="true" ma:taxonomy="true" ma:internalName="UNDPFocusAreasTaxHTField0" ma:taxonomyFieldName="UNDPFocusAreas" ma:displayName="Focus Area" ma:readOnly="false" ma:default="" ma:fieldId="{c0f5d6bc-94c2-4efb-8cb3-448ca9792810}" ma:taxonomyMulti="true" ma:sspId="28e6c43a-9e99-4bdd-9574-a0fa4ea3b61e" ma:termSetId="5595b894-23d9-4524-8855-5c6c69b8bcc7" ma:anchorId="00000000-0000-0000-0000-000000000000" ma:open="false" ma:isKeyword="false">
      <xsd:complexType>
        <xsd:sequence>
          <xsd:element ref="pc:Terms" minOccurs="0" maxOccurs="1"/>
        </xsd:sequence>
      </xsd:complexType>
    </xsd:element>
    <xsd:element name="UndpIsTemplate" ma:index="43" nillable="true" ma:displayName="Template" ma:default="No" ma:description="Is this document a template or model upon which other documents should be based?" ma:format="RadioButtons" ma:hidden="true" ma:internalName="UndpIsTemplate" ma:readOnly="fals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f1161f5b-24a3-4c2d-bc81-44cb9325e8ee" elementFormDefault="qualified">
    <xsd:import namespace="http://schemas.microsoft.com/office/2006/documentManagement/types"/>
    <xsd:import namespace="http://schemas.microsoft.com/office/infopath/2007/PartnerControls"/>
    <xsd:element name="UNDPPOPPFunctionalArea" ma:index="5" nillable="true" ma:displayName="Functional Area" ma:description="The Functional Area (as defined in POPP) of this document" ma:format="Dropdown" ma:internalName="UNDPPOPPFunctionalArea" ma:readOnly="false">
      <xsd:simpleType>
        <xsd:restriction base="dms:Choice">
          <xsd:enumeration value="Administrative Services"/>
          <xsd:enumeration value="Contract and Procurement"/>
          <xsd:enumeration value="Ethics"/>
          <xsd:enumeration value="Financial Resources"/>
          <xsd:enumeration value="Human Resources"/>
          <xsd:enumeration value="Information and Communications Technology"/>
          <xsd:enumeration value="Management of Crisis and Special Development Situations"/>
          <xsd:enumeration value="Partnerships"/>
          <xsd:enumeration value="Programme and Project"/>
          <xsd:enumeration value="Results &amp; Accountability"/>
          <xsd:enumeration value="Prescriptive Content"/>
          <xsd:enumeration value="Security"/>
        </xsd:restriction>
      </xsd:simpleType>
    </xsd:element>
    <xsd:element name="Outcome1" ma:index="9" nillable="true" ma:displayName="Output No" ma:internalName="Outcome1" ma:readOnly="false">
      <xsd:simpleType>
        <xsd:restriction base="dms:Text">
          <xsd:maxLength value="8"/>
        </xsd:restriction>
      </xsd:simpleType>
    </xsd:element>
    <xsd:element name="PDC_x0020_Document_x0020_Category" ma:index="15" nillable="true" ma:displayName="PDC Document Category" ma:default="Project" ma:format="Dropdown" ma:internalName="PDC_x0020_Document_x0020_Category" ma:readOnly="false">
      <xsd:simpleType>
        <xsd:restriction base="dms:Choice">
          <xsd:enumeration value="Project"/>
          <xsd:enumeration value="Proposal"/>
        </xsd:restriction>
      </xsd:simpleType>
    </xsd:element>
    <xsd:element name="UNDPPublishedDate" ma:index="19" nillable="true" ma:displayName="Published Date" ma:description="The date the document was published" ma:format="DateOnly" ma:hidden="true" ma:internalName="UNDPPublishedDate" ma:readOnly="false">
      <xsd:simpleType>
        <xsd:restriction base="dms:DateTime"/>
      </xsd:simpleType>
    </xsd:element>
    <xsd:element name="UNDPSummary" ma:index="21" nillable="true" ma:displayName="Summary" ma:description="A brief description or summary of the document that will displayed in search results." ma:hidden="true" ma:internalName="UNDPSummary" ma:readOnly="false">
      <xsd:simpleType>
        <xsd:restriction base="dms:Note"/>
      </xsd:simpleType>
    </xsd:element>
    <xsd:element name="o4086b1782a74105bb5269035bccc8e9" ma:index="39" nillable="true" ma:taxonomy="true" ma:internalName="o4086b1782a74105bb5269035bccc8e9" ma:taxonomyFieldName="Atlas_x0020_Document_x0020_Status" ma:displayName="PDC Document Status" ma:indexed="true" ma:default="763;#Draft|121d40a5-e62e-4d42-82e4-d6d12003de0a" ma:fieldId="{84086b17-82a7-4105-bb52-69035bccc8e9}" ma:sspId="28e6c43a-9e99-4bdd-9574-a0fa4ea3b61e" ma:termSetId="25903f6f-cbc1-40ed-9940-25d83ada12cd" ma:anchorId="00000000-0000-0000-0000-000000000000" ma:open="false" ma:isKeyword="false">
      <xsd:complexType>
        <xsd:sequence>
          <xsd:element ref="pc:Terms" minOccurs="0" maxOccurs="1"/>
        </xsd:sequence>
      </xsd:complexType>
    </xsd:element>
    <xsd:element name="Project_x0020_Number" ma:index="40" nillable="true" ma:displayName="Project Number" ma:hidden="true" ma:internalName="Project_x0020_Number" ma:readOnly="false">
      <xsd:simpleType>
        <xsd:restriction base="dms:Text">
          <xsd:maxLength value="8"/>
        </xsd:restriction>
      </xsd:simpleType>
    </xsd:element>
    <xsd:element name="idff2b682fce4d0680503cd9036a3260" ma:index="41" nillable="true" ma:taxonomy="true" ma:internalName="idff2b682fce4d0680503cd9036a3260" ma:taxonomyFieldName="Atlas_x0020_Document_x0020_Type" ma:displayName="PDC Document Type" ma:default="" ma:fieldId="{2dff2b68-2fce-4d06-8050-3cd9036a3260}" ma:sspId="28e6c43a-9e99-4bdd-9574-a0fa4ea3b61e" ma:termSetId="30d68b81-e6e1-44c0-83ea-00369bf2f000" ma:anchorId="00000000-0000-0000-0000-000000000000" ma:open="false" ma:isKeyword="false">
      <xsd:complexType>
        <xsd:sequence>
          <xsd:element ref="pc:Terms" minOccurs="0" maxOccurs="1"/>
        </xsd:sequence>
      </xsd:complexType>
    </xsd:element>
    <xsd:element name="gc6531b704974d528487414686b72f6f" ma:index="44" nillable="true" ma:taxonomy="true" ma:internalName="gc6531b704974d528487414686b72f6f" ma:taxonomyFieldName="Operating_x0020_Unit0" ma:displayName="Operating Unit" ma:default="" ma:fieldId="{0c6531b7-0497-4d52-8487-414686b72f6f}" ma:sspId="28e6c43a-9e99-4bdd-9574-a0fa4ea3b61e" ma:termSetId="4a12f052-e370-4dc7-89e6-088c48edbf4d" ma:anchorId="00000000-0000-0000-0000-000000000000" ma:open="false" ma:isKeyword="false">
      <xsd:complexType>
        <xsd:sequence>
          <xsd:element ref="pc:Terms" minOccurs="0" maxOccurs="1"/>
        </xsd:sequence>
      </xsd:complexType>
    </xsd:element>
    <xsd:element name="Project_x0020_Manager" ma:index="45" nillable="true" ma:displayName="Project Manager" ma:hidden="true" ma:internalName="Project_x0020_Manager" ma:readOnly="false">
      <xsd:simpleType>
        <xsd:restriction base="dms:Text">
          <xsd:maxLength value="50"/>
        </xsd:restriction>
      </xsd:simpleType>
    </xsd:element>
    <xsd:element name="_dlc_DocId" ma:index="47" nillable="true" ma:displayName="Document ID Value" ma:description="The value of the document ID assigned to this item." ma:internalName="_dlc_DocId" ma:readOnly="true">
      <xsd:simpleType>
        <xsd:restriction base="dms:Text"/>
      </xsd:simpleType>
    </xsd:element>
    <xsd:element name="_dlc_DocIdUrl" ma:index="4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9" nillable="true" ma:displayName="Persist ID" ma:description="Keep ID on add." ma:hidden="true" ma:internalName="_dlc_DocIdPersistId" ma:readOnly="true">
      <xsd:simpleType>
        <xsd:restriction base="dms:Boolean"/>
      </xsd:simpleType>
    </xsd:element>
    <xsd:element name="Document_x0020_Coverage_x0020_Period_x0020_Start_x0020_Date" ma:index="50" nillable="true" ma:displayName="Document Coverage Period Start Date" ma:description="The period start date of the document covers or is valid (E.g. project start date specified in a project document, start date of the period covered by a project review report, a donor report, etc.)" ma:format="DateOnly" ma:internalName="Document_x0020_Coverage_x0020_Period_x0020_Start_x0020_Date">
      <xsd:simpleType>
        <xsd:restriction base="dms:DateTime"/>
      </xsd:simpleType>
    </xsd:element>
    <xsd:element name="Document_x0020_Coverage_x0020_Period_x0020_End_x0020_Date" ma:index="51" nillable="true" ma:displayName="Document Coverage Period End Date" ma:description="The period end date of the document covers or is valid (E.g. End date specified in a project document, period end date of review report, signed or published date if period is not relevant, such as MoU or Tender)" ma:format="DateOnly" ma:internalName="Document_x0020_Coverage_x0020_Period_x0020_End_x0020_Date" ma:readOnly="false">
      <xsd:simpleType>
        <xsd:restriction base="dms:DateTime"/>
      </xsd:simpleType>
    </xsd:element>
    <xsd:element name="SharedWithUsers" ma:index="5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29" ma:displayName="Content Type"/>
        <xsd:element ref="dc:title" minOccurs="0" maxOccurs="1" ma:index="1" ma:displayName="Title"/>
        <xsd:element ref="dc:subject" minOccurs="0" maxOccurs="1"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27E46B-27FD-45EE-A4E8-FDE11C7AF25C}"/>
</file>

<file path=customXml/itemProps2.xml><?xml version="1.0" encoding="utf-8"?>
<ds:datastoreItem xmlns:ds="http://schemas.openxmlformats.org/officeDocument/2006/customXml" ds:itemID="{8F1E9EF9-8092-482F-836F-BB11971DA1EE}"/>
</file>

<file path=customXml/itemProps3.xml><?xml version="1.0" encoding="utf-8"?>
<ds:datastoreItem xmlns:ds="http://schemas.openxmlformats.org/officeDocument/2006/customXml" ds:itemID="{55DC32B8-16FF-4E90-B476-8E508CFE838F}"/>
</file>

<file path=customXml/itemProps4.xml><?xml version="1.0" encoding="utf-8"?>
<ds:datastoreItem xmlns:ds="http://schemas.openxmlformats.org/officeDocument/2006/customXml" ds:itemID="{B2ECEB23-9FE1-492F-9DA5-74CE49CDDC4D}"/>
</file>

<file path=customXml/itemProps5.xml><?xml version="1.0" encoding="utf-8"?>
<ds:datastoreItem xmlns:ds="http://schemas.openxmlformats.org/officeDocument/2006/customXml" ds:itemID="{9314D958-ED9D-474E-9AE0-17BEE658681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5</vt:i4>
      </vt:variant>
    </vt:vector>
  </HeadingPairs>
  <TitlesOfParts>
    <vt:vector size="8" baseType="lpstr">
      <vt:lpstr>TBWP</vt:lpstr>
      <vt:lpstr>Summary</vt:lpstr>
      <vt:lpstr>accounts</vt:lpstr>
      <vt:lpstr>TBWP!_ftn2</vt:lpstr>
      <vt:lpstr>TBWP!_ftn3</vt:lpstr>
      <vt:lpstr>TBWP!_ftnref1</vt:lpstr>
      <vt:lpstr>TBWP!_ftnref3</vt:lpstr>
      <vt:lpstr>TBWP!Zone_d_impression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dc:title>
  <dc:subject/>
  <dc:creator>UNDP</dc:creator>
  <cp:lastModifiedBy>Stella Coco</cp:lastModifiedBy>
  <cp:lastPrinted>2017-06-14T13:59:25Z</cp:lastPrinted>
  <dcterms:created xsi:type="dcterms:W3CDTF">2015-11-24T13:20:20Z</dcterms:created>
  <dcterms:modified xsi:type="dcterms:W3CDTF">2017-06-14T14:47:53Z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0x010100F075C04BA242A84ABD3293E3AD35CDA400AB50428DC784B44FAACCAA5FAE40C0590045B5E632B552204ABF0E616DD66BDA0F</vt:lpwstr>
  </property>
  <property fmtid="{D5CDD505-2E9C-101B-9397-08002B2CF9AE}" pid="3" name="_dlc_DocIdItemGuid">
    <vt:lpwstr>f217e559-0ed3-4797-bdc4-9df97b3960d0</vt:lpwstr>
  </property>
  <property fmtid="{D5CDD505-2E9C-101B-9397-08002B2CF9AE}" pid="4" name="UNDPCountry">
    <vt:lpwstr>1114;#Countries|2f9ec5a1-3eec-45d6-8645-ed5d87180aba</vt:lpwstr>
  </property>
  <property fmtid="{D5CDD505-2E9C-101B-9397-08002B2CF9AE}" pid="5" name="UndpDocTypeMM">
    <vt:lpwstr/>
  </property>
  <property fmtid="{D5CDD505-2E9C-101B-9397-08002B2CF9AE}" pid="6" name="UNDPDocumentCategory">
    <vt:lpwstr/>
  </property>
  <property fmtid="{D5CDD505-2E9C-101B-9397-08002B2CF9AE}" pid="7" name="UN Languages">
    <vt:lpwstr>1;#English|7f98b732-4b5b-4b70-ba90-a0eff09b5d2d</vt:lpwstr>
  </property>
  <property fmtid="{D5CDD505-2E9C-101B-9397-08002B2CF9AE}" pid="8" name="Operating Unit0">
    <vt:lpwstr>1212;#BEN|da271886-2650-4055-a85b-d60b902df11d</vt:lpwstr>
  </property>
  <property fmtid="{D5CDD505-2E9C-101B-9397-08002B2CF9AE}" pid="9" name="Atlas Document Status">
    <vt:lpwstr>763;#Draft|121d40a5-e62e-4d42-82e4-d6d12003de0a</vt:lpwstr>
  </property>
  <property fmtid="{D5CDD505-2E9C-101B-9397-08002B2CF9AE}" pid="10" name="Atlas Document Type">
    <vt:lpwstr>1109;#Budget|1c1fa43a-cb36-4844-8715-9a4cc93e1ac9</vt:lpwstr>
  </property>
  <property fmtid="{D5CDD505-2E9C-101B-9397-08002B2CF9AE}" pid="11" name="eRegFilingCodeMM">
    <vt:lpwstr/>
  </property>
  <property fmtid="{D5CDD505-2E9C-101B-9397-08002B2CF9AE}" pid="12" name="UndpUnitMM">
    <vt:lpwstr/>
  </property>
  <property fmtid="{D5CDD505-2E9C-101B-9397-08002B2CF9AE}" pid="13" name="UNDPFocusAreas">
    <vt:lpwstr>296;#Environment and Energy|507850c5-118d-4c78-99b1-c760df552b10</vt:lpwstr>
  </property>
  <property fmtid="{D5CDD505-2E9C-101B-9397-08002B2CF9AE}" pid="14" name="URL">
    <vt:lpwstr/>
  </property>
  <property fmtid="{D5CDD505-2E9C-101B-9397-08002B2CF9AE}" pid="15" name="DocumentSetDescription">
    <vt:lpwstr/>
  </property>
  <property fmtid="{D5CDD505-2E9C-101B-9397-08002B2CF9AE}" pid="16" name="UnitTaxHTField0">
    <vt:lpwstr/>
  </property>
  <property fmtid="{D5CDD505-2E9C-101B-9397-08002B2CF9AE}" pid="17" name="Unit">
    <vt:lpwstr/>
  </property>
</Properties>
</file>